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/>
  <bookViews>
    <workbookView xWindow="0" yWindow="0" windowWidth="19440" windowHeight="7755" tabRatio="836" activeTab="1"/>
  </bookViews>
  <sheets>
    <sheet name="READ ME" sheetId="9" r:id="rId1"/>
    <sheet name="Dasbor" sheetId="2" r:id="rId2"/>
    <sheet name="Beban KK" sheetId="3" r:id="rId3"/>
    <sheet name="Beban IS" sheetId="5" r:id="rId4"/>
    <sheet name="Beban PUE" sheetId="6" r:id="rId5"/>
    <sheet name="Parameter Teknis SMG" sheetId="7" r:id="rId6"/>
    <sheet name="Daftar Peralatan" sheetId="1" r:id="rId7"/>
  </sheets>
  <externalReferences>
    <externalReference r:id="rId8"/>
  </externalReferences>
  <definedNames>
    <definedName name="_xlnm.Print_Area" localSheetId="2">'Beban KK'!$A$1:$V$16</definedName>
    <definedName name="_xlnm.Print_Area" localSheetId="4">'Beban PUE'!$A$1:$O$30</definedName>
    <definedName name="_xlnm.Print_Area" localSheetId="6">'Daftar Peralatan'!$A$1:$J$40</definedName>
    <definedName name="_xlnm.Print_Area" localSheetId="1">Dasbor!$A$1:$Z$31</definedName>
    <definedName name="_xlnm.Print_Area" localSheetId="5">'Parameter Teknis SMG'!$A$1:$M$29</definedName>
    <definedName name="_xlnm.Print_Area" localSheetId="0">'READ ME'!$A$1:$K$53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E9" i="2"/>
  <c r="C5" i="3" l="1"/>
  <c r="F5" i="3" s="1"/>
  <c r="G5" i="3" s="1"/>
  <c r="J6" i="3"/>
  <c r="M6" i="3" s="1"/>
  <c r="N6" i="3" s="1"/>
  <c r="E24" i="2"/>
  <c r="K6" i="2"/>
  <c r="C4" i="6"/>
  <c r="F4" i="6" s="1"/>
  <c r="Q21" i="2"/>
  <c r="Q22" i="2"/>
  <c r="S31" i="2"/>
  <c r="Q20" i="2"/>
  <c r="S30" i="2"/>
  <c r="Q19" i="2"/>
  <c r="S29" i="2"/>
  <c r="Q9" i="2"/>
  <c r="S28" i="2"/>
  <c r="Q8" i="2"/>
  <c r="S27" i="2" s="1"/>
  <c r="Q7" i="2"/>
  <c r="S26" i="2"/>
  <c r="E29" i="2"/>
  <c r="L13" i="2"/>
  <c r="C4" i="3"/>
  <c r="F4" i="3" s="1"/>
  <c r="C11" i="3"/>
  <c r="F11" i="3" s="1"/>
  <c r="G11" i="3" s="1"/>
  <c r="C6" i="3"/>
  <c r="F6" i="3" s="1"/>
  <c r="G6" i="3" s="1"/>
  <c r="C7" i="3"/>
  <c r="F7" i="3" s="1"/>
  <c r="G7" i="3" s="1"/>
  <c r="C8" i="3"/>
  <c r="F8" i="3" s="1"/>
  <c r="G8" i="3" s="1"/>
  <c r="C9" i="3"/>
  <c r="F9" i="3" s="1"/>
  <c r="G9" i="3" s="1"/>
  <c r="C10" i="3"/>
  <c r="F10" i="3" s="1"/>
  <c r="G10" i="3" s="1"/>
  <c r="C12" i="3"/>
  <c r="F12" i="3"/>
  <c r="G12" i="3" s="1"/>
  <c r="C13" i="3"/>
  <c r="F13" i="3" s="1"/>
  <c r="G13" i="3" s="1"/>
  <c r="J4" i="3"/>
  <c r="M4" i="3" s="1"/>
  <c r="N4" i="3" s="1"/>
  <c r="J5" i="3"/>
  <c r="M5" i="3" s="1"/>
  <c r="J7" i="3"/>
  <c r="M7" i="3" s="1"/>
  <c r="N7" i="3" s="1"/>
  <c r="J8" i="3"/>
  <c r="M8" i="3" s="1"/>
  <c r="N8" i="3" s="1"/>
  <c r="J9" i="3"/>
  <c r="M9" i="3" s="1"/>
  <c r="N9" i="3" s="1"/>
  <c r="J10" i="3"/>
  <c r="M10" i="3"/>
  <c r="N10" i="3" s="1"/>
  <c r="J11" i="3"/>
  <c r="M11" i="3"/>
  <c r="N11" i="3" s="1"/>
  <c r="J12" i="3"/>
  <c r="M12" i="3" s="1"/>
  <c r="N12" i="3" s="1"/>
  <c r="J13" i="3"/>
  <c r="M13" i="3" s="1"/>
  <c r="N13" i="3" s="1"/>
  <c r="Q4" i="3"/>
  <c r="T4" i="3" s="1"/>
  <c r="Q5" i="3"/>
  <c r="T5" i="3" s="1"/>
  <c r="U5" i="3" s="1"/>
  <c r="Q6" i="3"/>
  <c r="T6" i="3" s="1"/>
  <c r="U6" i="3" s="1"/>
  <c r="Q7" i="3"/>
  <c r="T7" i="3" s="1"/>
  <c r="U7" i="3" s="1"/>
  <c r="Q8" i="3"/>
  <c r="T8" i="3" s="1"/>
  <c r="U8" i="3" s="1"/>
  <c r="Q9" i="3"/>
  <c r="T9" i="3" s="1"/>
  <c r="U9" i="3" s="1"/>
  <c r="Q10" i="3"/>
  <c r="T10" i="3" s="1"/>
  <c r="U10" i="3" s="1"/>
  <c r="Q11" i="3"/>
  <c r="T11" i="3" s="1"/>
  <c r="U11" i="3" s="1"/>
  <c r="Q12" i="3"/>
  <c r="T12" i="3" s="1"/>
  <c r="U12" i="3" s="1"/>
  <c r="Q13" i="3"/>
  <c r="T13" i="3" s="1"/>
  <c r="U13" i="3" s="1"/>
  <c r="C7" i="6"/>
  <c r="F7" i="6" s="1"/>
  <c r="G7" i="6" s="1"/>
  <c r="C5" i="6"/>
  <c r="F5" i="6" s="1"/>
  <c r="G5" i="6" s="1"/>
  <c r="C6" i="6"/>
  <c r="F6" i="6" s="1"/>
  <c r="G6" i="6" s="1"/>
  <c r="C8" i="6"/>
  <c r="F8" i="6" s="1"/>
  <c r="G8" i="6" s="1"/>
  <c r="C9" i="6"/>
  <c r="F9" i="6" s="1"/>
  <c r="G9" i="6" s="1"/>
  <c r="C10" i="6"/>
  <c r="F10" i="6" s="1"/>
  <c r="G10" i="6" s="1"/>
  <c r="C11" i="6"/>
  <c r="F11" i="6" s="1"/>
  <c r="G11" i="6" s="1"/>
  <c r="C12" i="6"/>
  <c r="F12" i="6" s="1"/>
  <c r="G12" i="6" s="1"/>
  <c r="C13" i="6"/>
  <c r="F13" i="6" s="1"/>
  <c r="G13" i="6" s="1"/>
  <c r="J4" i="6"/>
  <c r="M4" i="6" s="1"/>
  <c r="J5" i="6"/>
  <c r="M5" i="6" s="1"/>
  <c r="N5" i="6" s="1"/>
  <c r="J6" i="6"/>
  <c r="M6" i="6" s="1"/>
  <c r="N6" i="6" s="1"/>
  <c r="J7" i="6"/>
  <c r="M7" i="6" s="1"/>
  <c r="N7" i="6" s="1"/>
  <c r="J8" i="6"/>
  <c r="M8" i="6" s="1"/>
  <c r="N8" i="6" s="1"/>
  <c r="J9" i="6"/>
  <c r="M9" i="6" s="1"/>
  <c r="N9" i="6" s="1"/>
  <c r="J10" i="6"/>
  <c r="M10" i="6" s="1"/>
  <c r="N10" i="6" s="1"/>
  <c r="J11" i="6"/>
  <c r="M11" i="6" s="1"/>
  <c r="N11" i="6" s="1"/>
  <c r="J12" i="6"/>
  <c r="M12" i="6" s="1"/>
  <c r="N12" i="6" s="1"/>
  <c r="J13" i="6"/>
  <c r="M13" i="6" s="1"/>
  <c r="N13" i="6" s="1"/>
  <c r="U31" i="2"/>
  <c r="C4" i="5"/>
  <c r="F4" i="5" s="1"/>
  <c r="C5" i="5"/>
  <c r="F5" i="5" s="1"/>
  <c r="G5" i="5" s="1"/>
  <c r="C6" i="5"/>
  <c r="F6" i="5" s="1"/>
  <c r="G6" i="5" s="1"/>
  <c r="C7" i="5"/>
  <c r="F7" i="5"/>
  <c r="G7" i="5" s="1"/>
  <c r="C8" i="5"/>
  <c r="F8" i="5" s="1"/>
  <c r="G8" i="5" s="1"/>
  <c r="C9" i="5"/>
  <c r="F9" i="5" s="1"/>
  <c r="G9" i="5" s="1"/>
  <c r="C10" i="5"/>
  <c r="F10" i="5" s="1"/>
  <c r="G10" i="5" s="1"/>
  <c r="C11" i="5"/>
  <c r="F11" i="5" s="1"/>
  <c r="G11" i="5" s="1"/>
  <c r="C12" i="5"/>
  <c r="F12" i="5" s="1"/>
  <c r="G12" i="5" s="1"/>
  <c r="C13" i="5"/>
  <c r="F13" i="5" s="1"/>
  <c r="G13" i="5" s="1"/>
  <c r="J4" i="5"/>
  <c r="M4" i="5" s="1"/>
  <c r="N4" i="5" s="1"/>
  <c r="J5" i="5"/>
  <c r="M5" i="5" s="1"/>
  <c r="N5" i="5" s="1"/>
  <c r="J6" i="5"/>
  <c r="M6" i="5" s="1"/>
  <c r="N6" i="5" s="1"/>
  <c r="J7" i="5"/>
  <c r="M7" i="5" s="1"/>
  <c r="N7" i="5" s="1"/>
  <c r="J8" i="5"/>
  <c r="M8" i="5" s="1"/>
  <c r="N8" i="5" s="1"/>
  <c r="J9" i="5"/>
  <c r="M9" i="5" s="1"/>
  <c r="N9" i="5" s="1"/>
  <c r="J10" i="5"/>
  <c r="M10" i="5" s="1"/>
  <c r="N10" i="5" s="1"/>
  <c r="J11" i="5"/>
  <c r="M11" i="5" s="1"/>
  <c r="N11" i="5" s="1"/>
  <c r="J12" i="5"/>
  <c r="M12" i="5" s="1"/>
  <c r="N12" i="5" s="1"/>
  <c r="J13" i="5"/>
  <c r="M13" i="5" s="1"/>
  <c r="N13" i="5" s="1"/>
  <c r="Q4" i="5"/>
  <c r="T4" i="5" s="1"/>
  <c r="Q5" i="5"/>
  <c r="T5" i="5" s="1"/>
  <c r="U5" i="5" s="1"/>
  <c r="Q6" i="5"/>
  <c r="T6" i="5" s="1"/>
  <c r="U6" i="5" s="1"/>
  <c r="Q7" i="5"/>
  <c r="T7" i="5" s="1"/>
  <c r="U7" i="5" s="1"/>
  <c r="Q8" i="5"/>
  <c r="T8" i="5" s="1"/>
  <c r="U8" i="5" s="1"/>
  <c r="Q9" i="5"/>
  <c r="T9" i="5" s="1"/>
  <c r="U9" i="5" s="1"/>
  <c r="Q10" i="5"/>
  <c r="T10" i="5" s="1"/>
  <c r="U10" i="5" s="1"/>
  <c r="Q11" i="5"/>
  <c r="T11" i="5" s="1"/>
  <c r="U11" i="5" s="1"/>
  <c r="Q12" i="5"/>
  <c r="T12" i="5" s="1"/>
  <c r="U12" i="5" s="1"/>
  <c r="Q13" i="5"/>
  <c r="T13" i="5" s="1"/>
  <c r="U13" i="5" s="1"/>
  <c r="C18" i="6"/>
  <c r="F18" i="6" s="1"/>
  <c r="C19" i="6"/>
  <c r="F19" i="6" s="1"/>
  <c r="G19" i="6" s="1"/>
  <c r="C20" i="6"/>
  <c r="F20" i="6" s="1"/>
  <c r="G20" i="6" s="1"/>
  <c r="C21" i="6"/>
  <c r="F21" i="6" s="1"/>
  <c r="G21" i="6" s="1"/>
  <c r="C22" i="6"/>
  <c r="F22" i="6" s="1"/>
  <c r="G22" i="6" s="1"/>
  <c r="C23" i="6"/>
  <c r="F23" i="6" s="1"/>
  <c r="G23" i="6" s="1"/>
  <c r="C24" i="6"/>
  <c r="F24" i="6" s="1"/>
  <c r="G24" i="6" s="1"/>
  <c r="C25" i="6"/>
  <c r="F25" i="6" s="1"/>
  <c r="G25" i="6" s="1"/>
  <c r="C26" i="6"/>
  <c r="F26" i="6" s="1"/>
  <c r="G26" i="6" s="1"/>
  <c r="C27" i="6"/>
  <c r="F27" i="6" s="1"/>
  <c r="G27" i="6" s="1"/>
  <c r="J24" i="6"/>
  <c r="M24" i="6" s="1"/>
  <c r="N24" i="6" s="1"/>
  <c r="J19" i="6"/>
  <c r="M19" i="6" s="1"/>
  <c r="N19" i="6" s="1"/>
  <c r="J21" i="6"/>
  <c r="M21" i="6" s="1"/>
  <c r="N21" i="6" s="1"/>
  <c r="J23" i="6"/>
  <c r="M23" i="6" s="1"/>
  <c r="N23" i="6" s="1"/>
  <c r="J18" i="6"/>
  <c r="M18" i="6" s="1"/>
  <c r="N18" i="6" s="1"/>
  <c r="J20" i="6"/>
  <c r="M20" i="6" s="1"/>
  <c r="N20" i="6" s="1"/>
  <c r="J22" i="6"/>
  <c r="M22" i="6" s="1"/>
  <c r="N22" i="6" s="1"/>
  <c r="J25" i="6"/>
  <c r="M25" i="6" s="1"/>
  <c r="N25" i="6" s="1"/>
  <c r="J26" i="6"/>
  <c r="M26" i="6" s="1"/>
  <c r="N26" i="6" s="1"/>
  <c r="J27" i="6"/>
  <c r="M27" i="6" s="1"/>
  <c r="N27" i="6" s="1"/>
  <c r="K13" i="7"/>
  <c r="L25" i="2"/>
  <c r="G5" i="7"/>
  <c r="L13" i="7"/>
  <c r="K14" i="7"/>
  <c r="G6" i="7"/>
  <c r="K16" i="7"/>
  <c r="G8" i="7"/>
  <c r="K17" i="7"/>
  <c r="L17" i="7"/>
  <c r="L9" i="7"/>
  <c r="E25" i="2"/>
  <c r="I18" i="2"/>
  <c r="I17" i="2"/>
  <c r="I16" i="2"/>
  <c r="I19" i="2"/>
  <c r="Q15" i="2"/>
  <c r="Q14" i="2"/>
  <c r="Q13" i="2"/>
  <c r="I22" i="2"/>
  <c r="I21" i="2"/>
  <c r="I20" i="2"/>
  <c r="E26" i="2"/>
  <c r="L14" i="7"/>
  <c r="K7" i="7"/>
  <c r="K6" i="7"/>
  <c r="K5" i="7"/>
  <c r="J7" i="7"/>
  <c r="J6" i="7"/>
  <c r="J5" i="7"/>
  <c r="L16" i="7"/>
  <c r="H5" i="7"/>
  <c r="H8" i="7"/>
  <c r="H9" i="7"/>
  <c r="H6" i="7"/>
  <c r="N14" i="5" l="1"/>
  <c r="S14" i="2" s="1"/>
  <c r="V14" i="2" s="1"/>
  <c r="G4" i="5"/>
  <c r="G14" i="5" s="1"/>
  <c r="S13" i="2" s="1"/>
  <c r="V13" i="2" s="1"/>
  <c r="F14" i="5"/>
  <c r="R13" i="2" s="1"/>
  <c r="U13" i="2" s="1"/>
  <c r="U4" i="5"/>
  <c r="U14" i="5" s="1"/>
  <c r="S15" i="2" s="1"/>
  <c r="V15" i="2" s="1"/>
  <c r="T14" i="5"/>
  <c r="R15" i="2" s="1"/>
  <c r="U15" i="2" s="1"/>
  <c r="M14" i="5"/>
  <c r="R14" i="2" s="1"/>
  <c r="U14" i="2" s="1"/>
  <c r="T14" i="3"/>
  <c r="R9" i="2" s="1"/>
  <c r="U9" i="2" s="1"/>
  <c r="U4" i="3"/>
  <c r="U14" i="3" s="1"/>
  <c r="S9" i="2" s="1"/>
  <c r="V9" i="2" s="1"/>
  <c r="N5" i="3"/>
  <c r="N14" i="3" s="1"/>
  <c r="S8" i="2" s="1"/>
  <c r="V8" i="2" s="1"/>
  <c r="M14" i="3"/>
  <c r="R8" i="2" s="1"/>
  <c r="U8" i="2" s="1"/>
  <c r="F14" i="3"/>
  <c r="R7" i="2" s="1"/>
  <c r="U7" i="2" s="1"/>
  <c r="G4" i="3"/>
  <c r="G14" i="3" s="1"/>
  <c r="S7" i="2" s="1"/>
  <c r="V7" i="2" s="1"/>
  <c r="L14" i="2"/>
  <c r="L16" i="2"/>
  <c r="F28" i="6"/>
  <c r="R21" i="2" s="1"/>
  <c r="U21" i="2" s="1"/>
  <c r="G18" i="6"/>
  <c r="G28" i="6" s="1"/>
  <c r="S21" i="2" s="1"/>
  <c r="N28" i="6"/>
  <c r="S22" i="2" s="1"/>
  <c r="N4" i="6"/>
  <c r="N14" i="6" s="1"/>
  <c r="S20" i="2" s="1"/>
  <c r="M14" i="6"/>
  <c r="R20" i="2" s="1"/>
  <c r="U20" i="2" s="1"/>
  <c r="G4" i="6"/>
  <c r="G14" i="6" s="1"/>
  <c r="S19" i="2" s="1"/>
  <c r="F14" i="6"/>
  <c r="R19" i="2" s="1"/>
  <c r="U19" i="2" s="1"/>
  <c r="M28" i="6"/>
  <c r="R22" i="2" s="1"/>
  <c r="U22" i="2" s="1"/>
  <c r="V16" i="2" l="1"/>
  <c r="L6" i="7" s="1"/>
  <c r="U16" i="2"/>
  <c r="U10" i="2"/>
  <c r="V10" i="2"/>
  <c r="L5" i="7" s="1"/>
  <c r="L17" i="2"/>
  <c r="U27" i="2" s="1"/>
  <c r="L18" i="2"/>
  <c r="U28" i="2" s="1"/>
  <c r="U26" i="2"/>
  <c r="V20" i="2"/>
  <c r="L20" i="2"/>
  <c r="U30" i="2" s="1"/>
  <c r="U23" i="2"/>
  <c r="L22" i="2"/>
  <c r="V22" i="2"/>
  <c r="L19" i="2"/>
  <c r="U29" i="2" s="1"/>
  <c r="V19" i="2"/>
  <c r="V21" i="2"/>
  <c r="L21" i="2"/>
  <c r="L7" i="2" l="1"/>
  <c r="E16" i="2"/>
  <c r="E18" i="2" s="1"/>
  <c r="E19" i="2" s="1"/>
  <c r="V23" i="2"/>
  <c r="L7" i="7" l="1"/>
  <c r="L8" i="7" s="1"/>
  <c r="K8" i="2"/>
  <c r="L9" i="2" l="1"/>
  <c r="E27" i="2"/>
  <c r="E28" i="2" s="1"/>
  <c r="K15" i="7"/>
  <c r="G7" i="7" s="1"/>
  <c r="L10" i="7"/>
  <c r="L15" i="7" l="1"/>
  <c r="L26" i="2"/>
  <c r="L18" i="7"/>
  <c r="L19" i="7" l="1"/>
  <c r="G13" i="7"/>
  <c r="H13" i="7" s="1"/>
  <c r="G11" i="7"/>
  <c r="H11" i="7" s="1"/>
  <c r="G12" i="7"/>
  <c r="H12" i="7" s="1"/>
  <c r="H7" i="7"/>
  <c r="L27" i="2" l="1"/>
  <c r="G10" i="7"/>
  <c r="H10" i="7" l="1"/>
  <c r="G14" i="7"/>
  <c r="H14" i="7" l="1"/>
  <c r="K28" i="2"/>
</calcChain>
</file>

<file path=xl/sharedStrings.xml><?xml version="1.0" encoding="utf-8"?>
<sst xmlns="http://schemas.openxmlformats.org/spreadsheetml/2006/main" count="482" uniqueCount="244">
  <si>
    <t>Bench drill</t>
  </si>
  <si>
    <t>Bench grinder</t>
  </si>
  <si>
    <t>Blower</t>
  </si>
  <si>
    <t>Blender</t>
  </si>
  <si>
    <t>Dispenser</t>
  </si>
  <si>
    <t>Freezer</t>
  </si>
  <si>
    <t>Oven</t>
  </si>
  <si>
    <t>Rice cooker</t>
  </si>
  <si>
    <t>Sealer</t>
  </si>
  <si>
    <t>TV colour 21 inch</t>
  </si>
  <si>
    <t>DVD player</t>
  </si>
  <si>
    <t>Handphone charger</t>
  </si>
  <si>
    <t>Speaker</t>
  </si>
  <si>
    <t>Printer</t>
  </si>
  <si>
    <t>Operator 1</t>
  </si>
  <si>
    <t>Operator 2</t>
  </si>
  <si>
    <t>kW</t>
  </si>
  <si>
    <t>%</t>
  </si>
  <si>
    <t>kWh</t>
  </si>
  <si>
    <t>Wattage</t>
  </si>
  <si>
    <t>Total W</t>
  </si>
  <si>
    <t>Total Wh</t>
  </si>
  <si>
    <t>Total kW</t>
  </si>
  <si>
    <t>Total kWh</t>
  </si>
  <si>
    <t>W per PUE</t>
  </si>
  <si>
    <t>Wh per PUE</t>
  </si>
  <si>
    <t>Parameter</t>
  </si>
  <si>
    <t>Power</t>
  </si>
  <si>
    <t>Wp</t>
  </si>
  <si>
    <t>Volt</t>
  </si>
  <si>
    <t>Op. Voltage</t>
  </si>
  <si>
    <t>Peak Sun Hours</t>
  </si>
  <si>
    <t>Capacity</t>
  </si>
  <si>
    <t>Ah</t>
  </si>
  <si>
    <t>Deep of Discharge</t>
  </si>
  <si>
    <t>Autonomy</t>
  </si>
  <si>
    <t>Days</t>
  </si>
  <si>
    <t>CHARGE CONTROLLER</t>
  </si>
  <si>
    <t>INVERTER</t>
  </si>
  <si>
    <t>kWatt</t>
  </si>
  <si>
    <t>Rated Power</t>
  </si>
  <si>
    <t>Module Type</t>
  </si>
  <si>
    <t>Monocrystalline</t>
  </si>
  <si>
    <t xml:space="preserve">Polycrystalline </t>
  </si>
  <si>
    <t>Thin Film PV</t>
  </si>
  <si>
    <t>kW PV / MW</t>
  </si>
  <si>
    <t>1 MW</t>
  </si>
  <si>
    <t>Powerhouse</t>
  </si>
  <si>
    <t>TOTAL</t>
  </si>
  <si>
    <t>IDR</t>
  </si>
  <si>
    <t>1kWp</t>
  </si>
  <si>
    <t>1 kW</t>
  </si>
  <si>
    <t>hours/day</t>
  </si>
  <si>
    <r>
      <t>m</t>
    </r>
    <r>
      <rPr>
        <vertAlign val="superscript"/>
        <sz val="10"/>
        <color theme="1"/>
        <rFont val="Arial"/>
        <family val="2"/>
      </rPr>
      <t>2</t>
    </r>
  </si>
  <si>
    <t>xyz</t>
  </si>
  <si>
    <r>
      <t>IDR per m</t>
    </r>
    <r>
      <rPr>
        <vertAlign val="superscript"/>
        <sz val="10"/>
        <color theme="1"/>
        <rFont val="Arial"/>
        <family val="2"/>
      </rPr>
      <t>2</t>
    </r>
  </si>
  <si>
    <t>PUE</t>
  </si>
  <si>
    <t>TIPS!</t>
  </si>
  <si>
    <t>SMG</t>
  </si>
  <si>
    <t>Microwave</t>
  </si>
  <si>
    <t>RINGKASAN</t>
  </si>
  <si>
    <t>PENGELUARAN TPD</t>
  </si>
  <si>
    <t>PERMINTAAN LISTRIK</t>
  </si>
  <si>
    <t>1) Gaji bulanan</t>
  </si>
  <si>
    <t>Bendahara</t>
  </si>
  <si>
    <t>Sekretaris</t>
  </si>
  <si>
    <t>Ketua</t>
  </si>
  <si>
    <t>IDR/bulan</t>
  </si>
  <si>
    <t>IDR/tahun</t>
  </si>
  <si>
    <t>2) Pemeliharaan bulanan</t>
  </si>
  <si>
    <t>3) Pengeluaran perbaikan</t>
  </si>
  <si>
    <t>4) Tabungan yang diharapkan</t>
  </si>
  <si>
    <t>Total PENGELUARAN</t>
  </si>
  <si>
    <t>Total PEMASUKAN</t>
  </si>
  <si>
    <r>
      <t>Untung/</t>
    </r>
    <r>
      <rPr>
        <b/>
        <sz val="10"/>
        <color rgb="FFFF0000"/>
        <rFont val="Arial"/>
        <family val="2"/>
      </rPr>
      <t>Defisit</t>
    </r>
    <r>
      <rPr>
        <b/>
        <sz val="10"/>
        <rFont val="Arial"/>
        <family val="2"/>
      </rPr>
      <t xml:space="preserve"> Aktual</t>
    </r>
  </si>
  <si>
    <t>PASOKAN LISTRIK</t>
  </si>
  <si>
    <t>TARIF PELANGGAN</t>
  </si>
  <si>
    <t>LAINNYA</t>
  </si>
  <si>
    <t>Kapasitas pembangkitan listrik</t>
  </si>
  <si>
    <t>Faktor Ketersediaan dan Efisiensi</t>
  </si>
  <si>
    <t>Kapasitas tersedia</t>
  </si>
  <si>
    <t>Waktu pembangkitan per hari</t>
  </si>
  <si>
    <t>Energi terbangkit per hari (pasokan)</t>
  </si>
  <si>
    <t>Konsumsi energi per hari (permintaan)</t>
  </si>
  <si>
    <r>
      <t>Surplus/</t>
    </r>
    <r>
      <rPr>
        <b/>
        <sz val="10"/>
        <color rgb="FFFF0000"/>
        <rFont val="Arial"/>
        <family val="2"/>
      </rPr>
      <t xml:space="preserve">defisit energi </t>
    </r>
    <r>
      <rPr>
        <b/>
        <sz val="10"/>
        <rFont val="Arial"/>
        <family val="2"/>
      </rPr>
      <t>per hari</t>
    </r>
  </si>
  <si>
    <t>Jumlah KK di desa</t>
  </si>
  <si>
    <t>KK</t>
  </si>
  <si>
    <t>jam</t>
  </si>
  <si>
    <t>Total kapasitas pembangkitan</t>
  </si>
  <si>
    <t>Total beban</t>
  </si>
  <si>
    <t>Total permintaan energi</t>
  </si>
  <si>
    <r>
      <t>Surplus/</t>
    </r>
    <r>
      <rPr>
        <b/>
        <sz val="10"/>
        <color rgb="FFFF0000"/>
        <rFont val="Arial"/>
        <family val="2"/>
      </rPr>
      <t>defisit</t>
    </r>
    <r>
      <rPr>
        <b/>
        <sz val="10"/>
        <rFont val="Arial"/>
        <family val="2"/>
      </rPr>
      <t xml:space="preserve"> energi</t>
    </r>
  </si>
  <si>
    <t>Apabila energi defisit, kurangi permintaan listrik Anda!</t>
  </si>
  <si>
    <t>kWh/hari</t>
  </si>
  <si>
    <t>Proporsi IS:</t>
  </si>
  <si>
    <t>Jumlah KK terbebas dari tarif:</t>
  </si>
  <si>
    <t>Modul PV</t>
  </si>
  <si>
    <t>Baterai</t>
  </si>
  <si>
    <t>Tarif dasar:</t>
  </si>
  <si>
    <t>Jumlah modul PV yang diperlukan</t>
  </si>
  <si>
    <t>Jumlah baterai yang diperlukan</t>
  </si>
  <si>
    <t>Luas tanah yang diperlukan</t>
  </si>
  <si>
    <t>Perkiraan biaya infrastruktur</t>
  </si>
  <si>
    <t>Permintaan rumah tangga (KK)</t>
  </si>
  <si>
    <t>Permintaan institusi sosial (IS)</t>
  </si>
  <si>
    <t>Permintaan bisnis perdesaan (PUE)</t>
  </si>
  <si>
    <t>W per KK</t>
  </si>
  <si>
    <t>Wh per KK</t>
  </si>
  <si>
    <t># Koneksi</t>
  </si>
  <si>
    <t>W per IS</t>
  </si>
  <si>
    <t>Wh per IS</t>
  </si>
  <si>
    <t>Total permintaan KK</t>
  </si>
  <si>
    <t>Total permintaan IS</t>
  </si>
  <si>
    <t>Total permintaan PUE</t>
  </si>
  <si>
    <t>OUTPUT: Dasbor Hasil Perhitungan</t>
  </si>
  <si>
    <t>INPUT: Perhitungan Beban Harian Rumah Tangga (KK)</t>
  </si>
  <si>
    <t>Permintaan rumah tangga:</t>
  </si>
  <si>
    <t>KK Dasar</t>
  </si>
  <si>
    <t>KK Sedang</t>
  </si>
  <si>
    <t>KK Tinggi</t>
  </si>
  <si>
    <t>Jml</t>
  </si>
  <si>
    <t>Jam/
Hari</t>
  </si>
  <si>
    <t>Pilih peralatan</t>
  </si>
  <si>
    <t>Permintaan/konsumsi harian</t>
  </si>
  <si>
    <t>Peralatan</t>
  </si>
  <si>
    <t>INPUT: Perhitungan Beban Harian Institusi Sosial (IS)</t>
  </si>
  <si>
    <t>Permintaan IS:</t>
  </si>
  <si>
    <t>Sekolah</t>
  </si>
  <si>
    <t>Lampu jalan</t>
  </si>
  <si>
    <t>Tipe 3</t>
  </si>
  <si>
    <t>INPUT: Perhitungan Beban Harian Bisnis (PUE)</t>
  </si>
  <si>
    <t>Permintaan PUE:</t>
  </si>
  <si>
    <t>Tipe 4</t>
  </si>
  <si>
    <t>Penjahit</t>
  </si>
  <si>
    <t>Penetasan telur</t>
  </si>
  <si>
    <t>INPUT: Parameter Teknis Solar Mini-grid (SMG)</t>
  </si>
  <si>
    <t>Spesifikasi Teknis SMG</t>
  </si>
  <si>
    <t>Biaya Pemasangan SMG</t>
  </si>
  <si>
    <t>Ringkasan</t>
  </si>
  <si>
    <t>Unit</t>
  </si>
  <si>
    <t>Nilai</t>
  </si>
  <si>
    <t>MODUL SURYA</t>
  </si>
  <si>
    <t>BATERAI</t>
  </si>
  <si>
    <t>LOKASI</t>
  </si>
  <si>
    <t>Asumsi untuk Perhitungan</t>
  </si>
  <si>
    <t>per baterai</t>
  </si>
  <si>
    <t>Komponen</t>
  </si>
  <si>
    <t>Controller</t>
  </si>
  <si>
    <t>DC/AC Converter</t>
  </si>
  <si>
    <t>Alat lain</t>
  </si>
  <si>
    <t>Lahan</t>
  </si>
  <si>
    <t>Transportasi</t>
  </si>
  <si>
    <t>Tenaga kerja</t>
  </si>
  <si>
    <t>Bangunan</t>
  </si>
  <si>
    <t>Konversi mata uang</t>
  </si>
  <si>
    <t>Pelanggan listrik</t>
  </si>
  <si>
    <t>Tipe</t>
  </si>
  <si>
    <t>Jumlah</t>
  </si>
  <si>
    <t>Energi per Hari</t>
  </si>
  <si>
    <t>Total Energi Dikonsumsi per Hari</t>
  </si>
  <si>
    <t>Total energi terbangkit per hari</t>
  </si>
  <si>
    <t>Instalasi SMG</t>
  </si>
  <si>
    <r>
      <t>Surplus/</t>
    </r>
    <r>
      <rPr>
        <b/>
        <sz val="10"/>
        <color rgb="FFFF0000"/>
        <rFont val="Arial"/>
        <family val="2"/>
      </rPr>
      <t xml:space="preserve">defisit </t>
    </r>
    <r>
      <rPr>
        <b/>
        <sz val="10"/>
        <rFont val="Arial"/>
        <family val="2"/>
      </rPr>
      <t>energi per hari</t>
    </r>
  </si>
  <si>
    <t>Kapasitas Total</t>
  </si>
  <si>
    <t>Charge Controller</t>
  </si>
  <si>
    <t>Inverter</t>
  </si>
  <si>
    <t>Luas lahan PV</t>
  </si>
  <si>
    <t>Luas powerhouse</t>
  </si>
  <si>
    <t>Total luas instalasi</t>
  </si>
  <si>
    <t>Biaya lain-lain:</t>
  </si>
  <si>
    <t>% dari biaya peralatan</t>
  </si>
  <si>
    <t>Bangunan (shelter)</t>
  </si>
  <si>
    <t>Daftar Peralatan</t>
  </si>
  <si>
    <t>Jenis Peralatan</t>
  </si>
  <si>
    <t>Rumah tangga</t>
  </si>
  <si>
    <t>Institusi sosial/fasilitas publik</t>
  </si>
  <si>
    <t>Bisnis perdesaan (PUE)</t>
  </si>
  <si>
    <t>1. Anda bisa menambah daftar ini dengan peralatan lainnya</t>
  </si>
  <si>
    <t>2. Disarankan untuk mengurut daftar yang baru untuk mempermudah pencarian</t>
  </si>
  <si>
    <t>Kipas angin</t>
  </si>
  <si>
    <t>Lampu (fluorescent)</t>
  </si>
  <si>
    <t>Komputer (PC)</t>
  </si>
  <si>
    <t>Lampu</t>
  </si>
  <si>
    <t>Gergaji mesin</t>
  </si>
  <si>
    <t>Penggiling kopi</t>
  </si>
  <si>
    <t>Kompresor</t>
  </si>
  <si>
    <t>Lampu meja</t>
  </si>
  <si>
    <t>Mixer adonan</t>
  </si>
  <si>
    <t>Inkubator telur</t>
  </si>
  <si>
    <t>Mesin bordir</t>
  </si>
  <si>
    <t>Mixer makanan</t>
  </si>
  <si>
    <t>Bor tangan</t>
  </si>
  <si>
    <t>Mesin obras</t>
  </si>
  <si>
    <t>Gerinda logam</t>
  </si>
  <si>
    <t>Mesin planer</t>
  </si>
  <si>
    <t>Penggiling padi</t>
  </si>
  <si>
    <t>Mesin amplas (sander)</t>
  </si>
  <si>
    <t>Mesin neci</t>
  </si>
  <si>
    <t>Mesin jahit</t>
  </si>
  <si>
    <r>
      <t>Mesin trimmer (</t>
    </r>
    <r>
      <rPr>
        <i/>
        <sz val="10"/>
        <color theme="1"/>
        <rFont val="Arial"/>
        <family val="2"/>
      </rPr>
      <t>profiler</t>
    </r>
    <r>
      <rPr>
        <sz val="10"/>
        <color theme="1"/>
        <rFont val="Arial"/>
        <family val="2"/>
      </rPr>
      <t>)</t>
    </r>
  </si>
  <si>
    <t>Pengepak vakum</t>
  </si>
  <si>
    <t>Las inverter</t>
  </si>
  <si>
    <t>Total Biaya</t>
  </si>
  <si>
    <t>ALAT PERHITUNGAN DAYA DAN TARIF UNTUK SOLAR MINI-GRID</t>
  </si>
  <si>
    <t>Disusun oleh: Amalia Suryani dan Robert Schultz</t>
  </si>
  <si>
    <t>Berkolaborasi dengan: Aliyah Fitrotun, David Jarrett, dan Prisma Megantoro</t>
  </si>
  <si>
    <t>IS</t>
  </si>
  <si>
    <t>TPD</t>
  </si>
  <si>
    <t>Tim pengelola desa (TPD): organisasi masyarakat yang bertanggungjawab dalam mengelola dan mengoperasikansolar mini-grid</t>
  </si>
  <si>
    <t>Solar mini-grid atau dikenal dengan PLTS (pembangkit listrik tenaga surya)</t>
  </si>
  <si>
    <t>Productive use of energy atau bisnis perdesaan misalnya warung, pertukangan kayu, penjahit, bengkel, penetasan telur</t>
  </si>
  <si>
    <t>Institusi sosial/fasilitas publik misalnya sekolah, masjid, gereja, pura, pusat kesehatan, lampu jalan</t>
  </si>
  <si>
    <t>Kepala keluarga atau rumah tangga, dikategorikan menurut peralatan listrik yang dimiliki: dasar, sedang, tinggi (beberapa KK bisa terbebas dari  tarif listrik)</t>
  </si>
  <si>
    <t>Alat ini memungkinkan untuk memperkirakan kapasitas solar mini-grid (kW dan kWh) dan investasi (Rp) serta biaya listrik (Rp per bulan). Biaya listrik dihitung berdasarkan praktek umum dalam listrik pedesaan dimana mini-grid dikelola oleh masyarakat itu sendiri.</t>
  </si>
  <si>
    <t>ISTILAH-ISTILAH</t>
  </si>
  <si>
    <t>BAGAIMANA CARA MENGGUNAKAN?</t>
  </si>
  <si>
    <t>LEMBARAN</t>
  </si>
  <si>
    <t>Dasbor</t>
  </si>
  <si>
    <t>Beban KK</t>
  </si>
  <si>
    <t>Beban IS</t>
  </si>
  <si>
    <t>Beban PUE</t>
  </si>
  <si>
    <t>Parameter Teknis SMG</t>
  </si>
  <si>
    <t>ASUMSI UNTUK PERHITUNGAN</t>
  </si>
  <si>
    <t>Sesuai dengan permintaan/konsumsi KK</t>
  </si>
  <si>
    <t>Sesuai dengan permintaan/konsumsi IS</t>
  </si>
  <si>
    <t>Sesuai dengan permintaan/konsumsi PUE</t>
  </si>
  <si>
    <t>Isian oleh pengguna</t>
  </si>
  <si>
    <t>Peringatan</t>
  </si>
  <si>
    <t>Semua sel berwarna dalam alat ini terkunci untuk memasukkan data, demi menjamin integritas alat.</t>
  </si>
  <si>
    <t>RINGKASAN hasil perhitungan untuk membuat keputusan</t>
  </si>
  <si>
    <t>Untuk memasukkan peralatan rumah tangga dan waktu pemakaian</t>
  </si>
  <si>
    <t>Untuk memasukkan peralatan institusi sosial dan waktu pemakaian</t>
  </si>
  <si>
    <t>Untuk memasukkan peralatan bisnis perdesaan dan waktu pemakaian</t>
  </si>
  <si>
    <t>Untuk memasukkan data teknis dan keuangan dasar solar mini-grid</t>
  </si>
  <si>
    <t>Untuk memasukkan berbagai peralatan listrik dan perkiraan daya (W)</t>
  </si>
  <si>
    <t>1. Tarif dasar adalah [pengeluaran &amp; tabungan] dibagi dengan [jumlah KK yang membayar]</t>
  </si>
  <si>
    <t>2. Tarif KK dasar adalah tarif terendah yang disarankan untuk rumah tangga</t>
  </si>
  <si>
    <t>3. Proporsi IS dihitung secara relatif terhadap tarif dasar</t>
  </si>
  <si>
    <t>4. Tarif PUE dihitung secara relatif terhadap tarif dasar</t>
  </si>
  <si>
    <t>5. KK yang juga memiliki bisnis (PUE) harus membayar tarif akumulasi [tarif KK + tarif PUE]</t>
  </si>
  <si>
    <t>6. Tarif tidak berlaku untuk IS</t>
  </si>
  <si>
    <t>Untuk informasi lebih lanjut: www.endev-indonesia.org; endev.indonesia@giz.de</t>
  </si>
  <si>
    <t>Harga Unit</t>
  </si>
  <si>
    <t>Harga tanah per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</si>
</sst>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(&quot;£&quot;* #,##0.00_);_(&quot;£&quot;* \(#,##0.00\);_(&quot;£&quot;* &quot;-&quot;??_);_(@_)"/>
    <numFmt numFmtId="165" formatCode="_(* #,##0.00_);_(* \(#,##0.00\);_(* &quot;-&quot;??_);_(@_)"/>
    <numFmt numFmtId="166" formatCode="_-* #,##0_-;\-* #,##0_-;_-* &quot;-&quot;??_-;_-@_-"/>
    <numFmt numFmtId="167" formatCode="0.0"/>
    <numFmt numFmtId="168" formatCode="_-* #,##0.0_-;\-* #,##0.0_-;_-* &quot;-&quot;??_-;_-@_-"/>
    <numFmt numFmtId="169" formatCode="#,##0.0_ ;[Red]\-#,##0.0\ "/>
    <numFmt numFmtId="170" formatCode="0.00\ &quot;kWh&quot;"/>
    <numFmt numFmtId="171" formatCode="0.00\ &quot;kWp&quot;"/>
    <numFmt numFmtId="172" formatCode="0.00\ &quot;kW&quot;"/>
    <numFmt numFmtId="173" formatCode="0\ &quot;kWh&quot;"/>
    <numFmt numFmtId="174" formatCode="_(* #,##0_);_(* \(#,##0\);_(* &quot;-&quot;??_);_(@_)"/>
    <numFmt numFmtId="175" formatCode="0.0\ &quot;m²&quot;"/>
    <numFmt numFmtId="176" formatCode="0.0\ &quot;cm&quot;"/>
    <numFmt numFmtId="177" formatCode="0.00&quot; Days&quot;"/>
    <numFmt numFmtId="178" formatCode="_-[$IDR]\ * #,##0_-;\-[$IDR]\ * #,##0_-;_-[$IDR]\ * &quot;-&quot;??_-;_-@_-"/>
    <numFmt numFmtId="179" formatCode="_-[$€-2]\ * #,##0_-;\-[$€-2]\ * #,##0_-;_-[$€-2]\ * &quot;-&quot;??_-;_-@_-"/>
    <numFmt numFmtId="180" formatCode="#,##0_ ;[Red]\-#,##0\ "/>
    <numFmt numFmtId="181" formatCode="[$IDR]\ #,##0"/>
    <numFmt numFmtId="182" formatCode="0&quot; W&quot;"/>
    <numFmt numFmtId="183" formatCode="_(&quot;£&quot;* #,##0_);_(&quot;£&quot;* \(#,##0\);_(&quot;£&quot;* &quot;-&quot;??_);_(@_)"/>
    <numFmt numFmtId="184" formatCode="_-[$IDR]\ * #,##0_-;\-[$IDR]\ * #,##0_-;_-[$IDR]\ * &quot;-&quot;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b/>
      <sz val="2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FF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b/>
      <sz val="10"/>
      <color theme="1" tint="0.249977111117893"/>
      <name val="Arial"/>
      <family val="2"/>
    </font>
    <font>
      <sz val="11"/>
      <color theme="1" tint="0.249977111117893"/>
      <name val="Calibri"/>
      <family val="2"/>
      <scheme val="minor"/>
    </font>
    <font>
      <b/>
      <sz val="28"/>
      <color theme="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20"/>
      <color theme="0"/>
      <name val="Arial"/>
      <family val="2"/>
    </font>
    <font>
      <b/>
      <sz val="24"/>
      <color theme="0"/>
      <name val="Arial"/>
      <family val="2"/>
    </font>
    <font>
      <sz val="11"/>
      <color rgb="FFCC99FF"/>
      <name val="Arial"/>
      <family val="2"/>
    </font>
    <font>
      <b/>
      <sz val="20"/>
      <name val="Arial"/>
      <family val="2"/>
    </font>
    <font>
      <b/>
      <i/>
      <sz val="10"/>
      <color theme="1"/>
      <name val="Arial"/>
      <family val="2"/>
    </font>
    <font>
      <sz val="10"/>
      <color theme="0"/>
      <name val="Arial"/>
      <family val="2"/>
    </font>
    <font>
      <b/>
      <i/>
      <sz val="10"/>
      <name val="Arial"/>
      <family val="2"/>
    </font>
    <font>
      <i/>
      <sz val="6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C99FF"/>
        <bgColor indexed="42"/>
      </patternFill>
    </fill>
    <fill>
      <patternFill patternType="solid">
        <fgColor rgb="FFCC99FF"/>
        <bgColor indexed="64"/>
      </patternFill>
    </fill>
    <fill>
      <patternFill patternType="solid">
        <fgColor rgb="FFFAB99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1E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rgb="FFFF0000"/>
      </left>
      <right style="thick">
        <color rgb="FFFF0000"/>
      </right>
      <top style="medium">
        <color rgb="FFFF0000"/>
      </top>
      <bottom style="medium">
        <color rgb="FFFF0000"/>
      </bottom>
      <diagonal/>
    </border>
    <border>
      <left style="thick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3">
    <xf numFmtId="0" fontId="0" fillId="0" borderId="0" xfId="0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9" fillId="6" borderId="0" xfId="0" applyFont="1" applyFill="1" applyBorder="1" applyAlignment="1" applyProtection="1">
      <alignment horizontal="right" vertical="center" wrapText="1"/>
    </xf>
    <xf numFmtId="166" fontId="8" fillId="6" borderId="0" xfId="1" applyNumberFormat="1" applyFont="1" applyFill="1" applyBorder="1" applyAlignment="1" applyProtection="1">
      <alignment horizontal="right" vertical="center" wrapText="1"/>
    </xf>
    <xf numFmtId="0" fontId="4" fillId="9" borderId="0" xfId="0" quotePrefix="1" applyFont="1" applyFill="1" applyBorder="1" applyAlignment="1">
      <alignment vertical="center"/>
    </xf>
    <xf numFmtId="0" fontId="4" fillId="9" borderId="0" xfId="0" applyFont="1" applyFill="1" applyBorder="1" applyAlignment="1">
      <alignment vertical="center"/>
    </xf>
    <xf numFmtId="0" fontId="5" fillId="6" borderId="0" xfId="0" applyFont="1" applyFill="1" applyBorder="1" applyAlignment="1">
      <alignment vertical="center"/>
    </xf>
    <xf numFmtId="0" fontId="4" fillId="6" borderId="0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0" fillId="9" borderId="0" xfId="0" applyFont="1" applyFill="1" applyBorder="1" applyAlignment="1">
      <alignment horizontal="center" vertical="center"/>
    </xf>
    <xf numFmtId="3" fontId="5" fillId="6" borderId="0" xfId="1" applyNumberFormat="1" applyFont="1" applyFill="1" applyBorder="1" applyAlignment="1">
      <alignment vertical="center"/>
    </xf>
    <xf numFmtId="0" fontId="5" fillId="6" borderId="0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/>
    </xf>
    <xf numFmtId="0" fontId="11" fillId="4" borderId="19" xfId="0" applyFont="1" applyFill="1" applyBorder="1" applyAlignment="1">
      <alignment horizontal="center" vertical="center" wrapText="1"/>
    </xf>
    <xf numFmtId="166" fontId="11" fillId="4" borderId="19" xfId="1" applyNumberFormat="1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vertical="center"/>
    </xf>
    <xf numFmtId="0" fontId="11" fillId="2" borderId="19" xfId="0" applyFont="1" applyFill="1" applyBorder="1" applyAlignment="1">
      <alignment horizontal="center" vertical="center" wrapText="1"/>
    </xf>
    <xf numFmtId="166" fontId="11" fillId="2" borderId="19" xfId="1" applyNumberFormat="1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/>
    </xf>
    <xf numFmtId="168" fontId="5" fillId="2" borderId="15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0" fontId="3" fillId="7" borderId="30" xfId="0" applyFont="1" applyFill="1" applyBorder="1" applyAlignment="1" applyProtection="1">
      <alignment horizontal="center" vertical="center"/>
      <protection locked="0"/>
    </xf>
    <xf numFmtId="166" fontId="3" fillId="7" borderId="1" xfId="1" applyNumberFormat="1" applyFont="1" applyFill="1" applyBorder="1" applyAlignment="1" applyProtection="1">
      <alignment horizontal="center" vertical="center"/>
      <protection locked="0"/>
    </xf>
    <xf numFmtId="165" fontId="4" fillId="4" borderId="31" xfId="1" applyNumberFormat="1" applyFont="1" applyFill="1" applyBorder="1" applyAlignment="1">
      <alignment vertical="center"/>
    </xf>
    <xf numFmtId="165" fontId="4" fillId="4" borderId="2" xfId="1" applyNumberFormat="1" applyFont="1" applyFill="1" applyBorder="1" applyAlignment="1">
      <alignment vertical="center"/>
    </xf>
    <xf numFmtId="165" fontId="4" fillId="4" borderId="36" xfId="1" applyNumberFormat="1" applyFont="1" applyFill="1" applyBorder="1" applyAlignment="1">
      <alignment vertical="center"/>
    </xf>
    <xf numFmtId="165" fontId="4" fillId="2" borderId="31" xfId="1" applyNumberFormat="1" applyFont="1" applyFill="1" applyBorder="1" applyAlignment="1">
      <alignment vertical="center"/>
    </xf>
    <xf numFmtId="165" fontId="4" fillId="2" borderId="2" xfId="1" applyNumberFormat="1" applyFont="1" applyFill="1" applyBorder="1" applyAlignment="1">
      <alignment vertical="center"/>
    </xf>
    <xf numFmtId="165" fontId="4" fillId="2" borderId="36" xfId="1" applyNumberFormat="1" applyFont="1" applyFill="1" applyBorder="1" applyAlignment="1">
      <alignment vertical="center"/>
    </xf>
    <xf numFmtId="165" fontId="4" fillId="3" borderId="31" xfId="1" applyNumberFormat="1" applyFont="1" applyFill="1" applyBorder="1" applyAlignment="1">
      <alignment vertical="center"/>
    </xf>
    <xf numFmtId="165" fontId="4" fillId="3" borderId="2" xfId="1" applyNumberFormat="1" applyFont="1" applyFill="1" applyBorder="1" applyAlignment="1">
      <alignment vertical="center"/>
    </xf>
    <xf numFmtId="165" fontId="4" fillId="3" borderId="36" xfId="1" applyNumberFormat="1" applyFont="1" applyFill="1" applyBorder="1" applyAlignment="1">
      <alignment vertical="center"/>
    </xf>
    <xf numFmtId="165" fontId="4" fillId="3" borderId="6" xfId="1" applyNumberFormat="1" applyFont="1" applyFill="1" applyBorder="1" applyAlignment="1">
      <alignment vertical="center"/>
    </xf>
    <xf numFmtId="165" fontId="4" fillId="3" borderId="9" xfId="1" applyNumberFormat="1" applyFont="1" applyFill="1" applyBorder="1" applyAlignment="1">
      <alignment vertical="center"/>
    </xf>
    <xf numFmtId="165" fontId="4" fillId="3" borderId="12" xfId="1" applyNumberFormat="1" applyFont="1" applyFill="1" applyBorder="1" applyAlignment="1">
      <alignment vertical="center"/>
    </xf>
    <xf numFmtId="165" fontId="4" fillId="4" borderId="6" xfId="1" applyNumberFormat="1" applyFont="1" applyFill="1" applyBorder="1" applyAlignment="1">
      <alignment vertical="center"/>
    </xf>
    <xf numFmtId="165" fontId="4" fillId="4" borderId="9" xfId="1" applyNumberFormat="1" applyFont="1" applyFill="1" applyBorder="1" applyAlignment="1">
      <alignment vertical="center"/>
    </xf>
    <xf numFmtId="165" fontId="4" fillId="4" borderId="12" xfId="1" applyNumberFormat="1" applyFont="1" applyFill="1" applyBorder="1" applyAlignment="1">
      <alignment vertical="center"/>
    </xf>
    <xf numFmtId="165" fontId="5" fillId="4" borderId="15" xfId="1" applyNumberFormat="1" applyFont="1" applyFill="1" applyBorder="1" applyAlignment="1">
      <alignment vertical="center"/>
    </xf>
    <xf numFmtId="165" fontId="4" fillId="2" borderId="6" xfId="1" applyNumberFormat="1" applyFont="1" applyFill="1" applyBorder="1" applyAlignment="1">
      <alignment vertical="center"/>
    </xf>
    <xf numFmtId="165" fontId="4" fillId="2" borderId="9" xfId="1" applyNumberFormat="1" applyFont="1" applyFill="1" applyBorder="1" applyAlignment="1">
      <alignment vertical="center"/>
    </xf>
    <xf numFmtId="165" fontId="4" fillId="2" borderId="12" xfId="1" applyNumberFormat="1" applyFont="1" applyFill="1" applyBorder="1" applyAlignment="1">
      <alignment vertical="center"/>
    </xf>
    <xf numFmtId="0" fontId="3" fillId="7" borderId="1" xfId="0" applyFont="1" applyFill="1" applyBorder="1" applyAlignment="1" applyProtection="1">
      <alignment horizontal="center" vertical="center"/>
      <protection locked="0"/>
    </xf>
    <xf numFmtId="0" fontId="3" fillId="7" borderId="22" xfId="0" applyFont="1" applyFill="1" applyBorder="1" applyAlignment="1" applyProtection="1">
      <alignment horizontal="left" vertical="center"/>
      <protection locked="0"/>
    </xf>
    <xf numFmtId="9" fontId="3" fillId="7" borderId="1" xfId="3" applyFont="1" applyFill="1" applyBorder="1" applyAlignment="1" applyProtection="1">
      <alignment horizontal="right" vertical="center"/>
      <protection locked="0"/>
    </xf>
    <xf numFmtId="0" fontId="0" fillId="11" borderId="0" xfId="0" applyFill="1"/>
    <xf numFmtId="0" fontId="3" fillId="3" borderId="27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vertical="center"/>
    </xf>
    <xf numFmtId="3" fontId="5" fillId="6" borderId="14" xfId="1" applyNumberFormat="1" applyFont="1" applyFill="1" applyBorder="1" applyAlignment="1">
      <alignment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/>
    </xf>
    <xf numFmtId="0" fontId="3" fillId="4" borderId="23" xfId="0" applyFont="1" applyFill="1" applyBorder="1" applyAlignment="1">
      <alignment horizontal="right" vertical="center"/>
    </xf>
    <xf numFmtId="0" fontId="2" fillId="4" borderId="26" xfId="0" applyFont="1" applyFill="1" applyBorder="1" applyAlignment="1">
      <alignment horizontal="right" vertical="center"/>
    </xf>
    <xf numFmtId="0" fontId="3" fillId="4" borderId="38" xfId="0" applyFont="1" applyFill="1" applyBorder="1" applyAlignment="1">
      <alignment horizontal="right" vertical="center"/>
    </xf>
    <xf numFmtId="0" fontId="3" fillId="4" borderId="39" xfId="0" applyFont="1" applyFill="1" applyBorder="1" applyAlignment="1">
      <alignment horizontal="right" vertical="center"/>
    </xf>
    <xf numFmtId="0" fontId="4" fillId="7" borderId="22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68" fontId="4" fillId="15" borderId="0" xfId="1" applyNumberFormat="1" applyFont="1" applyFill="1" applyBorder="1" applyAlignment="1">
      <alignment horizontal="right" vertical="center"/>
    </xf>
    <xf numFmtId="169" fontId="5" fillId="15" borderId="0" xfId="1" applyNumberFormat="1" applyFont="1" applyFill="1" applyBorder="1" applyAlignment="1">
      <alignment horizontal="right" vertical="center"/>
    </xf>
    <xf numFmtId="0" fontId="4" fillId="12" borderId="0" xfId="0" applyFont="1" applyFill="1" applyAlignment="1">
      <alignment vertical="center"/>
    </xf>
    <xf numFmtId="0" fontId="0" fillId="12" borderId="0" xfId="0" applyFill="1"/>
    <xf numFmtId="0" fontId="4" fillId="12" borderId="0" xfId="0" applyFont="1" applyFill="1" applyBorder="1" applyAlignment="1">
      <alignment vertical="center"/>
    </xf>
    <xf numFmtId="166" fontId="16" fillId="6" borderId="0" xfId="1" quotePrefix="1" applyNumberFormat="1" applyFont="1" applyFill="1" applyBorder="1" applyAlignment="1">
      <alignment horizontal="right" vertical="center"/>
    </xf>
    <xf numFmtId="180" fontId="16" fillId="6" borderId="16" xfId="1" quotePrefix="1" applyNumberFormat="1" applyFont="1" applyFill="1" applyBorder="1" applyAlignment="1">
      <alignment horizontal="right" vertical="center"/>
    </xf>
    <xf numFmtId="0" fontId="14" fillId="15" borderId="0" xfId="0" applyFont="1" applyFill="1" applyBorder="1" applyAlignment="1">
      <alignment vertical="center"/>
    </xf>
    <xf numFmtId="0" fontId="8" fillId="14" borderId="7" xfId="0" applyFont="1" applyFill="1" applyBorder="1" applyAlignment="1" applyProtection="1">
      <alignment vertical="center"/>
    </xf>
    <xf numFmtId="1" fontId="3" fillId="7" borderId="1" xfId="0" applyNumberFormat="1" applyFont="1" applyFill="1" applyBorder="1" applyAlignment="1" applyProtection="1">
      <alignment horizontal="right" vertical="center"/>
      <protection locked="0"/>
    </xf>
    <xf numFmtId="0" fontId="4" fillId="6" borderId="15" xfId="0" applyFont="1" applyFill="1" applyBorder="1" applyAlignment="1">
      <alignment vertical="center"/>
    </xf>
    <xf numFmtId="0" fontId="21" fillId="7" borderId="23" xfId="0" applyFont="1" applyFill="1" applyBorder="1" applyAlignment="1" applyProtection="1">
      <alignment horizontal="center" vertical="center"/>
      <protection locked="0"/>
    </xf>
    <xf numFmtId="0" fontId="4" fillId="6" borderId="5" xfId="0" applyFont="1" applyFill="1" applyBorder="1" applyAlignment="1">
      <alignment vertical="center"/>
    </xf>
    <xf numFmtId="3" fontId="5" fillId="6" borderId="5" xfId="1" applyNumberFormat="1" applyFont="1" applyFill="1" applyBorder="1" applyAlignment="1">
      <alignment vertical="center"/>
    </xf>
    <xf numFmtId="0" fontId="4" fillId="6" borderId="6" xfId="0" applyFont="1" applyFill="1" applyBorder="1" applyAlignment="1">
      <alignment vertical="center"/>
    </xf>
    <xf numFmtId="0" fontId="5" fillId="6" borderId="5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3" fontId="5" fillId="6" borderId="0" xfId="1" applyNumberFormat="1" applyFont="1" applyFill="1" applyBorder="1" applyAlignment="1">
      <alignment horizontal="right" vertical="center"/>
    </xf>
    <xf numFmtId="0" fontId="4" fillId="6" borderId="0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0" fillId="6" borderId="0" xfId="0" applyFill="1" applyBorder="1"/>
    <xf numFmtId="0" fontId="0" fillId="6" borderId="9" xfId="0" applyFill="1" applyBorder="1"/>
    <xf numFmtId="1" fontId="22" fillId="6" borderId="0" xfId="0" applyNumberFormat="1" applyFont="1" applyFill="1" applyBorder="1"/>
    <xf numFmtId="0" fontId="9" fillId="14" borderId="0" xfId="0" applyFont="1" applyFill="1" applyBorder="1" applyAlignment="1" applyProtection="1">
      <alignment vertical="center" wrapText="1"/>
    </xf>
    <xf numFmtId="0" fontId="4" fillId="15" borderId="0" xfId="0" applyFont="1" applyFill="1" applyBorder="1" applyAlignment="1">
      <alignment vertical="center"/>
    </xf>
    <xf numFmtId="0" fontId="5" fillId="15" borderId="0" xfId="0" applyFont="1" applyFill="1" applyBorder="1" applyAlignment="1">
      <alignment vertical="center"/>
    </xf>
    <xf numFmtId="0" fontId="3" fillId="15" borderId="0" xfId="0" applyFont="1" applyFill="1" applyBorder="1" applyAlignment="1">
      <alignment horizontal="right" vertical="center"/>
    </xf>
    <xf numFmtId="0" fontId="9" fillId="14" borderId="0" xfId="0" applyFont="1" applyFill="1" applyBorder="1" applyAlignment="1" applyProtection="1">
      <alignment vertical="center"/>
    </xf>
    <xf numFmtId="0" fontId="8" fillId="6" borderId="0" xfId="0" applyFont="1" applyFill="1" applyBorder="1" applyAlignment="1" applyProtection="1">
      <alignment vertical="center" wrapText="1"/>
    </xf>
    <xf numFmtId="166" fontId="9" fillId="6" borderId="0" xfId="1" applyNumberFormat="1" applyFont="1" applyFill="1" applyBorder="1" applyAlignment="1" applyProtection="1">
      <alignment vertical="center" wrapText="1"/>
    </xf>
    <xf numFmtId="3" fontId="9" fillId="6" borderId="0" xfId="1" applyNumberFormat="1" applyFont="1" applyFill="1" applyBorder="1" applyAlignment="1" applyProtection="1">
      <alignment horizontal="right" vertical="center"/>
      <protection locked="0"/>
    </xf>
    <xf numFmtId="0" fontId="9" fillId="6" borderId="0" xfId="0" applyFont="1" applyFill="1" applyBorder="1" applyAlignment="1" applyProtection="1">
      <alignment vertical="center" wrapText="1"/>
    </xf>
    <xf numFmtId="0" fontId="9" fillId="6" borderId="0" xfId="0" applyFont="1" applyFill="1" applyBorder="1" applyAlignment="1" applyProtection="1">
      <alignment vertical="center"/>
    </xf>
    <xf numFmtId="9" fontId="9" fillId="6" borderId="0" xfId="3" applyFont="1" applyFill="1" applyBorder="1" applyAlignment="1" applyProtection="1">
      <alignment vertical="center" wrapText="1"/>
    </xf>
    <xf numFmtId="9" fontId="9" fillId="6" borderId="0" xfId="3" applyFont="1" applyFill="1" applyBorder="1" applyAlignment="1" applyProtection="1">
      <alignment horizontal="left" vertical="center" wrapText="1"/>
    </xf>
    <xf numFmtId="166" fontId="5" fillId="6" borderId="0" xfId="1" applyNumberFormat="1" applyFont="1" applyFill="1" applyBorder="1" applyAlignment="1">
      <alignment vertical="center"/>
    </xf>
    <xf numFmtId="166" fontId="5" fillId="8" borderId="0" xfId="1" applyNumberFormat="1" applyFont="1" applyFill="1" applyBorder="1" applyAlignment="1">
      <alignment vertical="center"/>
    </xf>
    <xf numFmtId="183" fontId="0" fillId="0" borderId="0" xfId="2" applyNumberFormat="1" applyFont="1"/>
    <xf numFmtId="183" fontId="0" fillId="0" borderId="0" xfId="0" applyNumberFormat="1"/>
    <xf numFmtId="0" fontId="0" fillId="6" borderId="0" xfId="0" applyFill="1"/>
    <xf numFmtId="166" fontId="8" fillId="6" borderId="46" xfId="1" applyNumberFormat="1" applyFont="1" applyFill="1" applyBorder="1" applyAlignment="1" applyProtection="1">
      <alignment horizontal="right" vertical="center" wrapText="1"/>
    </xf>
    <xf numFmtId="166" fontId="5" fillId="6" borderId="46" xfId="1" applyNumberFormat="1" applyFont="1" applyFill="1" applyBorder="1" applyAlignment="1">
      <alignment vertical="center"/>
    </xf>
    <xf numFmtId="166" fontId="16" fillId="6" borderId="16" xfId="1" quotePrefix="1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15" borderId="0" xfId="0" applyFont="1" applyFill="1" applyBorder="1" applyAlignment="1" applyProtection="1">
      <alignment horizontal="right" vertical="center"/>
    </xf>
    <xf numFmtId="0" fontId="5" fillId="6" borderId="7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9" fontId="16" fillId="0" borderId="1" xfId="3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>
      <alignment vertical="center"/>
    </xf>
    <xf numFmtId="0" fontId="7" fillId="15" borderId="41" xfId="0" applyFont="1" applyFill="1" applyBorder="1" applyAlignment="1">
      <alignment horizontal="center" vertical="center" wrapText="1"/>
    </xf>
    <xf numFmtId="0" fontId="13" fillId="15" borderId="7" xfId="0" applyFont="1" applyFill="1" applyBorder="1" applyAlignment="1">
      <alignment horizontal="center" vertical="center"/>
    </xf>
    <xf numFmtId="0" fontId="13" fillId="15" borderId="0" xfId="0" applyFont="1" applyFill="1" applyBorder="1" applyAlignment="1">
      <alignment vertical="center"/>
    </xf>
    <xf numFmtId="2" fontId="13" fillId="15" borderId="9" xfId="0" applyNumberFormat="1" applyFont="1" applyFill="1" applyBorder="1" applyAlignment="1">
      <alignment horizontal="center" vertical="center"/>
    </xf>
    <xf numFmtId="0" fontId="4" fillId="15" borderId="0" xfId="0" applyFont="1" applyFill="1" applyAlignment="1">
      <alignment vertical="center"/>
    </xf>
    <xf numFmtId="0" fontId="13" fillId="15" borderId="18" xfId="0" applyFont="1" applyFill="1" applyBorder="1" applyAlignment="1">
      <alignment vertical="center"/>
    </xf>
    <xf numFmtId="0" fontId="7" fillId="15" borderId="20" xfId="0" applyFont="1" applyFill="1" applyBorder="1" applyAlignment="1">
      <alignment horizontal="center" vertical="center"/>
    </xf>
    <xf numFmtId="0" fontId="15" fillId="15" borderId="0" xfId="0" applyFont="1" applyFill="1" applyBorder="1" applyAlignment="1">
      <alignment vertical="center"/>
    </xf>
    <xf numFmtId="0" fontId="13" fillId="15" borderId="9" xfId="0" applyFont="1" applyFill="1" applyBorder="1" applyAlignment="1">
      <alignment horizontal="center" vertical="center"/>
    </xf>
    <xf numFmtId="0" fontId="7" fillId="15" borderId="7" xfId="0" applyFont="1" applyFill="1" applyBorder="1" applyAlignment="1">
      <alignment vertical="center"/>
    </xf>
    <xf numFmtId="0" fontId="7" fillId="15" borderId="0" xfId="0" applyFont="1" applyFill="1" applyBorder="1" applyAlignment="1">
      <alignment horizontal="center" vertical="center"/>
    </xf>
    <xf numFmtId="0" fontId="7" fillId="15" borderId="9" xfId="0" applyFont="1" applyFill="1" applyBorder="1" applyAlignment="1">
      <alignment horizontal="center" vertical="center"/>
    </xf>
    <xf numFmtId="0" fontId="4" fillId="15" borderId="7" xfId="0" applyFont="1" applyFill="1" applyBorder="1" applyAlignment="1">
      <alignment vertical="center"/>
    </xf>
    <xf numFmtId="1" fontId="4" fillId="7" borderId="38" xfId="0" applyNumberFormat="1" applyFont="1" applyFill="1" applyBorder="1" applyAlignment="1" applyProtection="1">
      <alignment vertical="center"/>
      <protection locked="0"/>
    </xf>
    <xf numFmtId="178" fontId="4" fillId="15" borderId="9" xfId="2" applyNumberFormat="1" applyFont="1" applyFill="1" applyBorder="1" applyAlignment="1">
      <alignment vertical="center"/>
    </xf>
    <xf numFmtId="179" fontId="4" fillId="15" borderId="43" xfId="0" applyNumberFormat="1" applyFont="1" applyFill="1" applyBorder="1" applyAlignment="1">
      <alignment vertical="center"/>
    </xf>
    <xf numFmtId="1" fontId="4" fillId="15" borderId="0" xfId="0" applyNumberFormat="1" applyFont="1" applyFill="1" applyBorder="1" applyAlignment="1">
      <alignment horizontal="center" vertical="center"/>
    </xf>
    <xf numFmtId="170" fontId="4" fillId="15" borderId="9" xfId="0" applyNumberFormat="1" applyFont="1" applyFill="1" applyBorder="1" applyAlignment="1">
      <alignment horizontal="right" vertical="center"/>
    </xf>
    <xf numFmtId="176" fontId="4" fillId="7" borderId="38" xfId="0" applyNumberFormat="1" applyFont="1" applyFill="1" applyBorder="1" applyAlignment="1" applyProtection="1">
      <alignment horizontal="right" vertical="center"/>
      <protection locked="0"/>
    </xf>
    <xf numFmtId="0" fontId="4" fillId="15" borderId="13" xfId="0" applyFont="1" applyFill="1" applyBorder="1" applyAlignment="1">
      <alignment vertical="center"/>
    </xf>
    <xf numFmtId="0" fontId="4" fillId="15" borderId="14" xfId="0" applyFont="1" applyFill="1" applyBorder="1" applyAlignment="1">
      <alignment vertical="center"/>
    </xf>
    <xf numFmtId="181" fontId="4" fillId="7" borderId="40" xfId="2" applyNumberFormat="1" applyFont="1" applyFill="1" applyBorder="1" applyAlignment="1" applyProtection="1">
      <alignment vertical="center"/>
      <protection locked="0"/>
    </xf>
    <xf numFmtId="0" fontId="5" fillId="15" borderId="10" xfId="0" applyFont="1" applyFill="1" applyBorder="1" applyAlignment="1">
      <alignment horizontal="left" vertical="center"/>
    </xf>
    <xf numFmtId="0" fontId="5" fillId="15" borderId="11" xfId="0" applyFont="1" applyFill="1" applyBorder="1" applyAlignment="1">
      <alignment horizontal="left" vertical="center"/>
    </xf>
    <xf numFmtId="170" fontId="5" fillId="15" borderId="12" xfId="0" applyNumberFormat="1" applyFont="1" applyFill="1" applyBorder="1" applyAlignment="1">
      <alignment horizontal="right" vertical="center"/>
    </xf>
    <xf numFmtId="167" fontId="4" fillId="7" borderId="38" xfId="0" applyNumberFormat="1" applyFont="1" applyFill="1" applyBorder="1" applyAlignment="1" applyProtection="1">
      <alignment vertical="center"/>
      <protection locked="0"/>
    </xf>
    <xf numFmtId="178" fontId="4" fillId="7" borderId="38" xfId="2" applyNumberFormat="1" applyFont="1" applyFill="1" applyBorder="1" applyAlignment="1" applyProtection="1">
      <alignment vertical="center"/>
      <protection locked="0"/>
    </xf>
    <xf numFmtId="0" fontId="5" fillId="15" borderId="4" xfId="0" applyFont="1" applyFill="1" applyBorder="1" applyAlignment="1">
      <alignment horizontal="left" vertical="center"/>
    </xf>
    <xf numFmtId="0" fontId="5" fillId="15" borderId="5" xfId="0" applyFont="1" applyFill="1" applyBorder="1" applyAlignment="1">
      <alignment horizontal="left" vertical="center"/>
    </xf>
    <xf numFmtId="170" fontId="4" fillId="15" borderId="6" xfId="0" applyNumberFormat="1" applyFont="1" applyFill="1" applyBorder="1" applyAlignment="1">
      <alignment vertical="center"/>
    </xf>
    <xf numFmtId="0" fontId="5" fillId="15" borderId="14" xfId="0" applyFont="1" applyFill="1" applyBorder="1" applyAlignment="1">
      <alignment horizontal="left" vertical="center"/>
    </xf>
    <xf numFmtId="170" fontId="5" fillId="15" borderId="15" xfId="0" applyNumberFormat="1" applyFont="1" applyFill="1" applyBorder="1" applyAlignment="1">
      <alignment vertical="center"/>
    </xf>
    <xf numFmtId="178" fontId="4" fillId="15" borderId="9" xfId="0" applyNumberFormat="1" applyFont="1" applyFill="1" applyBorder="1" applyAlignment="1">
      <alignment vertical="center"/>
    </xf>
    <xf numFmtId="178" fontId="4" fillId="15" borderId="9" xfId="0" applyNumberFormat="1" applyFont="1" applyFill="1" applyBorder="1" applyAlignment="1" applyProtection="1">
      <alignment vertical="center"/>
      <protection locked="0"/>
    </xf>
    <xf numFmtId="0" fontId="5" fillId="15" borderId="7" xfId="0" applyFont="1" applyFill="1" applyBorder="1" applyAlignment="1">
      <alignment vertical="center"/>
    </xf>
    <xf numFmtId="1" fontId="5" fillId="15" borderId="0" xfId="0" applyNumberFormat="1" applyFont="1" applyFill="1" applyBorder="1" applyAlignment="1" applyProtection="1">
      <alignment horizontal="center" vertical="center"/>
    </xf>
    <xf numFmtId="171" fontId="5" fillId="15" borderId="9" xfId="0" applyNumberFormat="1" applyFont="1" applyFill="1" applyBorder="1" applyAlignment="1" applyProtection="1">
      <alignment vertical="center"/>
    </xf>
    <xf numFmtId="0" fontId="5" fillId="15" borderId="13" xfId="0" applyFont="1" applyFill="1" applyBorder="1" applyAlignment="1">
      <alignment vertical="center"/>
    </xf>
    <xf numFmtId="178" fontId="5" fillId="15" borderId="15" xfId="0" applyNumberFormat="1" applyFont="1" applyFill="1" applyBorder="1" applyAlignment="1">
      <alignment vertical="center"/>
    </xf>
    <xf numFmtId="179" fontId="5" fillId="15" borderId="44" xfId="0" applyNumberFormat="1" applyFont="1" applyFill="1" applyBorder="1" applyAlignment="1">
      <alignment vertical="center"/>
    </xf>
    <xf numFmtId="172" fontId="5" fillId="15" borderId="9" xfId="0" applyNumberFormat="1" applyFont="1" applyFill="1" applyBorder="1" applyAlignment="1" applyProtection="1">
      <alignment vertical="center"/>
    </xf>
    <xf numFmtId="173" fontId="5" fillId="15" borderId="9" xfId="0" applyNumberFormat="1" applyFont="1" applyFill="1" applyBorder="1" applyAlignment="1" applyProtection="1">
      <alignment vertical="center"/>
    </xf>
    <xf numFmtId="9" fontId="4" fillId="7" borderId="38" xfId="3" applyFont="1" applyFill="1" applyBorder="1" applyAlignment="1" applyProtection="1">
      <alignment vertical="center"/>
      <protection locked="0"/>
    </xf>
    <xf numFmtId="0" fontId="4" fillId="15" borderId="4" xfId="0" applyFont="1" applyFill="1" applyBorder="1" applyAlignment="1">
      <alignment horizontal="left" vertical="center"/>
    </xf>
    <xf numFmtId="175" fontId="4" fillId="15" borderId="6" xfId="0" applyNumberFormat="1" applyFont="1" applyFill="1" applyBorder="1" applyAlignment="1" applyProtection="1">
      <alignment horizontal="right" vertical="center"/>
    </xf>
    <xf numFmtId="177" fontId="4" fillId="7" borderId="38" xfId="0" applyNumberFormat="1" applyFont="1" applyFill="1" applyBorder="1" applyAlignment="1" applyProtection="1">
      <alignment vertical="center"/>
      <protection locked="0"/>
    </xf>
    <xf numFmtId="0" fontId="4" fillId="15" borderId="7" xfId="0" applyFont="1" applyFill="1" applyBorder="1" applyAlignment="1">
      <alignment horizontal="left" vertical="center"/>
    </xf>
    <xf numFmtId="0" fontId="4" fillId="15" borderId="0" xfId="0" applyFont="1" applyFill="1" applyBorder="1" applyAlignment="1">
      <alignment horizontal="left" vertical="center"/>
    </xf>
    <xf numFmtId="175" fontId="4" fillId="15" borderId="9" xfId="0" applyNumberFormat="1" applyFont="1" applyFill="1" applyBorder="1" applyAlignment="1" applyProtection="1">
      <alignment horizontal="right" vertical="center"/>
    </xf>
    <xf numFmtId="0" fontId="5" fillId="15" borderId="13" xfId="0" applyFont="1" applyFill="1" applyBorder="1" applyAlignment="1">
      <alignment horizontal="left" vertical="center"/>
    </xf>
    <xf numFmtId="175" fontId="5" fillId="15" borderId="15" xfId="0" applyNumberFormat="1" applyFont="1" applyFill="1" applyBorder="1" applyAlignment="1" applyProtection="1">
      <alignment vertical="center"/>
    </xf>
    <xf numFmtId="165" fontId="4" fillId="7" borderId="38" xfId="1" applyFont="1" applyFill="1" applyBorder="1" applyAlignment="1" applyProtection="1">
      <alignment vertical="center"/>
      <protection locked="0"/>
    </xf>
    <xf numFmtId="175" fontId="4" fillId="15" borderId="9" xfId="0" applyNumberFormat="1" applyFont="1" applyFill="1" applyBorder="1" applyAlignment="1">
      <alignment horizontal="right" vertical="center"/>
    </xf>
    <xf numFmtId="182" fontId="4" fillId="15" borderId="9" xfId="0" applyNumberFormat="1" applyFont="1" applyFill="1" applyBorder="1" applyAlignment="1">
      <alignment vertical="center"/>
    </xf>
    <xf numFmtId="175" fontId="4" fillId="15" borderId="15" xfId="0" applyNumberFormat="1" applyFont="1" applyFill="1" applyBorder="1" applyAlignment="1">
      <alignment vertical="center"/>
    </xf>
    <xf numFmtId="0" fontId="27" fillId="15" borderId="0" xfId="0" applyFont="1" applyFill="1" applyAlignment="1">
      <alignment vertical="center"/>
    </xf>
    <xf numFmtId="0" fontId="29" fillId="15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30" fillId="15" borderId="0" xfId="0" applyFont="1" applyFill="1" applyAlignment="1">
      <alignment vertical="center"/>
    </xf>
    <xf numFmtId="0" fontId="27" fillId="15" borderId="0" xfId="0" applyFont="1" applyFill="1" applyBorder="1" applyAlignment="1">
      <alignment vertical="center"/>
    </xf>
    <xf numFmtId="0" fontId="27" fillId="15" borderId="9" xfId="0" applyFont="1" applyFill="1" applyBorder="1" applyAlignment="1">
      <alignment vertical="center"/>
    </xf>
    <xf numFmtId="0" fontId="31" fillId="15" borderId="5" xfId="0" applyFont="1" applyFill="1" applyBorder="1" applyAlignment="1">
      <alignment vertical="center"/>
    </xf>
    <xf numFmtId="0" fontId="27" fillId="15" borderId="14" xfId="0" applyFont="1" applyFill="1" applyBorder="1" applyAlignment="1">
      <alignment vertical="center"/>
    </xf>
    <xf numFmtId="0" fontId="27" fillId="15" borderId="13" xfId="0" applyFont="1" applyFill="1" applyBorder="1" applyAlignment="1">
      <alignment vertical="center"/>
    </xf>
    <xf numFmtId="174" fontId="9" fillId="7" borderId="42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0" fontId="19" fillId="4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 wrapText="1"/>
    </xf>
    <xf numFmtId="0" fontId="19" fillId="3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27" fillId="0" borderId="0" xfId="0" applyFont="1" applyAlignment="1">
      <alignment horizontal="right" vertical="center"/>
    </xf>
    <xf numFmtId="0" fontId="27" fillId="19" borderId="0" xfId="0" applyFont="1" applyFill="1" applyAlignment="1">
      <alignment vertical="center"/>
    </xf>
    <xf numFmtId="0" fontId="27" fillId="19" borderId="0" xfId="0" applyFont="1" applyFill="1" applyAlignment="1">
      <alignment horizontal="right" vertical="center"/>
    </xf>
    <xf numFmtId="0" fontId="2" fillId="3" borderId="26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4" fillId="19" borderId="0" xfId="0" applyFont="1" applyFill="1" applyAlignment="1">
      <alignment vertical="center"/>
    </xf>
    <xf numFmtId="0" fontId="6" fillId="19" borderId="0" xfId="0" applyFont="1" applyFill="1" applyAlignment="1">
      <alignment vertical="center"/>
    </xf>
    <xf numFmtId="0" fontId="33" fillId="19" borderId="0" xfId="0" applyFont="1" applyFill="1" applyAlignment="1">
      <alignment vertical="center"/>
    </xf>
    <xf numFmtId="0" fontId="4" fillId="19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80" fontId="17" fillId="6" borderId="1" xfId="1" quotePrefix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6" fillId="20" borderId="0" xfId="0" applyFont="1" applyFill="1" applyBorder="1" applyAlignment="1">
      <alignment vertical="center"/>
    </xf>
    <xf numFmtId="0" fontId="6" fillId="20" borderId="0" xfId="0" applyFont="1" applyFill="1" applyBorder="1" applyAlignment="1">
      <alignment horizontal="center" vertical="center" wrapText="1"/>
    </xf>
    <xf numFmtId="0" fontId="33" fillId="2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33" fillId="20" borderId="0" xfId="0" applyFont="1" applyFill="1" applyBorder="1" applyAlignment="1">
      <alignment vertical="center"/>
    </xf>
    <xf numFmtId="0" fontId="35" fillId="20" borderId="0" xfId="0" applyFont="1" applyFill="1" applyBorder="1" applyAlignment="1">
      <alignment vertical="center"/>
    </xf>
    <xf numFmtId="0" fontId="0" fillId="0" borderId="0" xfId="0" applyAlignment="1"/>
    <xf numFmtId="0" fontId="4" fillId="7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 wrapText="1"/>
    </xf>
    <xf numFmtId="181" fontId="4" fillId="0" borderId="40" xfId="2" applyNumberFormat="1" applyFont="1" applyBorder="1" applyAlignment="1" applyProtection="1">
      <alignment vertical="center"/>
      <protection locked="0"/>
    </xf>
    <xf numFmtId="0" fontId="0" fillId="7" borderId="0" xfId="0" applyFill="1"/>
    <xf numFmtId="0" fontId="36" fillId="0" borderId="0" xfId="0" applyFont="1" applyFill="1" applyBorder="1" applyAlignment="1">
      <alignment vertical="top"/>
    </xf>
    <xf numFmtId="0" fontId="36" fillId="0" borderId="0" xfId="0" applyFont="1" applyFill="1" applyBorder="1" applyAlignment="1"/>
    <xf numFmtId="0" fontId="5" fillId="6" borderId="7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left" vertical="center"/>
    </xf>
    <xf numFmtId="0" fontId="4" fillId="20" borderId="0" xfId="0" applyFont="1" applyFill="1" applyBorder="1" applyAlignment="1">
      <alignment horizontal="center" vertical="center" wrapText="1"/>
    </xf>
    <xf numFmtId="0" fontId="34" fillId="13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3" fillId="2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34" fillId="17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34" fillId="18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184" fontId="25" fillId="11" borderId="0" xfId="2" applyNumberFormat="1" applyFont="1" applyFill="1" applyBorder="1" applyAlignment="1">
      <alignment horizontal="center"/>
    </xf>
    <xf numFmtId="0" fontId="24" fillId="11" borderId="0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9" fillId="14" borderId="0" xfId="0" applyFont="1" applyFill="1" applyBorder="1" applyAlignment="1" applyProtection="1">
      <alignment horizontal="right" vertical="center"/>
    </xf>
    <xf numFmtId="0" fontId="9" fillId="6" borderId="0" xfId="0" applyFont="1" applyFill="1" applyBorder="1" applyAlignment="1" applyProtection="1">
      <alignment horizontal="right" vertical="center"/>
    </xf>
    <xf numFmtId="0" fontId="11" fillId="3" borderId="37" xfId="0" applyFont="1" applyFill="1" applyBorder="1" applyAlignment="1">
      <alignment horizontal="center" vertical="center" wrapText="1"/>
    </xf>
    <xf numFmtId="0" fontId="20" fillId="16" borderId="13" xfId="0" applyFont="1" applyFill="1" applyBorder="1" applyAlignment="1">
      <alignment horizontal="center" vertical="center"/>
    </xf>
    <xf numFmtId="0" fontId="20" fillId="16" borderId="14" xfId="0" applyFont="1" applyFill="1" applyBorder="1" applyAlignment="1">
      <alignment horizontal="center" vertical="center"/>
    </xf>
    <xf numFmtId="0" fontId="20" fillId="16" borderId="15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right" vertical="center"/>
    </xf>
    <xf numFmtId="0" fontId="5" fillId="3" borderId="14" xfId="0" applyFont="1" applyFill="1" applyBorder="1" applyAlignment="1">
      <alignment horizontal="right" vertical="center"/>
    </xf>
    <xf numFmtId="0" fontId="5" fillId="4" borderId="13" xfId="0" applyFont="1" applyFill="1" applyBorder="1" applyAlignment="1">
      <alignment horizontal="right" vertical="center"/>
    </xf>
    <xf numFmtId="0" fontId="5" fillId="4" borderId="14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right" vertical="center"/>
    </xf>
    <xf numFmtId="166" fontId="11" fillId="3" borderId="19" xfId="1" applyNumberFormat="1" applyFont="1" applyFill="1" applyBorder="1" applyAlignment="1">
      <alignment horizontal="center" vertical="center" wrapText="1"/>
    </xf>
    <xf numFmtId="166" fontId="11" fillId="3" borderId="11" xfId="1" applyNumberFormat="1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8" fillId="14" borderId="0" xfId="0" applyFont="1" applyFill="1" applyBorder="1" applyAlignment="1" applyProtection="1">
      <alignment horizontal="right" vertical="center"/>
    </xf>
    <xf numFmtId="0" fontId="8" fillId="6" borderId="0" xfId="0" applyFont="1" applyFill="1" applyBorder="1" applyAlignment="1" applyProtection="1">
      <alignment horizontal="left" vertical="center" wrapText="1"/>
    </xf>
    <xf numFmtId="0" fontId="8" fillId="8" borderId="0" xfId="0" applyFont="1" applyFill="1" applyBorder="1" applyAlignment="1" applyProtection="1">
      <alignment horizontal="left" vertical="center" wrapText="1"/>
    </xf>
    <xf numFmtId="0" fontId="7" fillId="13" borderId="0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4" fillId="10" borderId="0" xfId="0" applyFont="1" applyFill="1" applyBorder="1" applyAlignment="1">
      <alignment horizontal="center" vertical="center"/>
    </xf>
    <xf numFmtId="0" fontId="26" fillId="9" borderId="0" xfId="0" applyFont="1" applyFill="1" applyBorder="1" applyAlignment="1">
      <alignment horizontal="center"/>
    </xf>
    <xf numFmtId="0" fontId="14" fillId="5" borderId="0" xfId="0" applyFont="1" applyFill="1" applyBorder="1" applyAlignment="1" applyProtection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3" fontId="5" fillId="6" borderId="14" xfId="2" applyNumberFormat="1" applyFont="1" applyFill="1" applyBorder="1" applyAlignment="1">
      <alignment horizontal="right" vertical="center"/>
    </xf>
    <xf numFmtId="0" fontId="5" fillId="6" borderId="7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left" vertical="center"/>
    </xf>
    <xf numFmtId="0" fontId="8" fillId="6" borderId="7" xfId="0" applyFont="1" applyFill="1" applyBorder="1" applyAlignment="1">
      <alignment horizontal="left" vertical="center"/>
    </xf>
    <xf numFmtId="0" fontId="8" fillId="6" borderId="0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5" fillId="6" borderId="8" xfId="0" applyFont="1" applyFill="1" applyBorder="1" applyAlignment="1">
      <alignment horizontal="left" vertical="center"/>
    </xf>
    <xf numFmtId="0" fontId="8" fillId="6" borderId="4" xfId="0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right" vertical="center"/>
    </xf>
    <xf numFmtId="0" fontId="2" fillId="4" borderId="25" xfId="0" applyFont="1" applyFill="1" applyBorder="1" applyAlignment="1">
      <alignment horizontal="right" vertical="center"/>
    </xf>
    <xf numFmtId="0" fontId="18" fillId="4" borderId="0" xfId="0" applyFont="1" applyFill="1" applyBorder="1" applyAlignment="1">
      <alignment horizontal="left" vertical="center" wrapText="1"/>
    </xf>
    <xf numFmtId="0" fontId="12" fillId="4" borderId="16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2" fillId="7" borderId="16" xfId="0" applyFont="1" applyFill="1" applyBorder="1" applyAlignment="1" applyProtection="1">
      <alignment horizontal="center" vertical="center"/>
      <protection locked="0"/>
    </xf>
    <xf numFmtId="0" fontId="12" fillId="7" borderId="17" xfId="0" applyFont="1" applyFill="1" applyBorder="1" applyAlignment="1" applyProtection="1">
      <alignment horizontal="center" vertical="center"/>
      <protection locked="0"/>
    </xf>
    <xf numFmtId="0" fontId="12" fillId="7" borderId="21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right" vertical="center"/>
    </xf>
    <xf numFmtId="0" fontId="2" fillId="2" borderId="25" xfId="0" applyFont="1" applyFill="1" applyBorder="1" applyAlignment="1">
      <alignment horizontal="right" vertical="center"/>
    </xf>
    <xf numFmtId="0" fontId="18" fillId="2" borderId="0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29" fillId="15" borderId="0" xfId="0" applyFont="1" applyFill="1" applyBorder="1" applyAlignment="1">
      <alignment horizontal="left" vertical="center" wrapText="1"/>
    </xf>
    <xf numFmtId="0" fontId="13" fillId="15" borderId="18" xfId="0" applyFont="1" applyFill="1" applyBorder="1" applyAlignment="1">
      <alignment horizontal="center" vertical="center"/>
    </xf>
    <xf numFmtId="0" fontId="13" fillId="15" borderId="19" xfId="0" applyFont="1" applyFill="1" applyBorder="1" applyAlignment="1">
      <alignment horizontal="center" vertical="center"/>
    </xf>
    <xf numFmtId="0" fontId="13" fillId="15" borderId="20" xfId="0" applyFont="1" applyFill="1" applyBorder="1" applyAlignment="1">
      <alignment horizontal="center" vertical="center"/>
    </xf>
    <xf numFmtId="0" fontId="15" fillId="13" borderId="16" xfId="0" applyFont="1" applyFill="1" applyBorder="1" applyAlignment="1">
      <alignment horizontal="center" vertical="center"/>
    </xf>
    <xf numFmtId="0" fontId="15" fillId="13" borderId="17" xfId="0" applyFont="1" applyFill="1" applyBorder="1" applyAlignment="1">
      <alignment horizontal="center" vertical="center"/>
    </xf>
    <xf numFmtId="0" fontId="15" fillId="13" borderId="21" xfId="0" applyFont="1" applyFill="1" applyBorder="1" applyAlignment="1">
      <alignment horizontal="center" vertical="center"/>
    </xf>
    <xf numFmtId="0" fontId="14" fillId="15" borderId="18" xfId="0" applyFont="1" applyFill="1" applyBorder="1" applyAlignment="1">
      <alignment horizontal="center" vertical="center"/>
    </xf>
    <xf numFmtId="0" fontId="14" fillId="15" borderId="19" xfId="0" applyFont="1" applyFill="1" applyBorder="1" applyAlignment="1">
      <alignment horizontal="center" vertical="center"/>
    </xf>
    <xf numFmtId="0" fontId="14" fillId="15" borderId="20" xfId="0" applyFont="1" applyFill="1" applyBorder="1" applyAlignment="1">
      <alignment horizontal="center" vertical="center"/>
    </xf>
    <xf numFmtId="0" fontId="13" fillId="15" borderId="18" xfId="0" applyFont="1" applyFill="1" applyBorder="1" applyAlignment="1">
      <alignment horizontal="left" vertical="center"/>
    </xf>
    <xf numFmtId="0" fontId="13" fillId="15" borderId="19" xfId="0" applyFont="1" applyFill="1" applyBorder="1" applyAlignment="1">
      <alignment horizontal="left" vertical="center"/>
    </xf>
    <xf numFmtId="0" fontId="13" fillId="15" borderId="20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32" fillId="19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left"/>
    </xf>
    <xf numFmtId="0" fontId="3" fillId="3" borderId="38" xfId="0" applyFont="1" applyFill="1" applyBorder="1" applyAlignment="1">
      <alignment horizontal="right" vertical="center"/>
    </xf>
    <xf numFmtId="0" fontId="3" fillId="3" borderId="39" xfId="0" applyFont="1" applyFill="1" applyBorder="1" applyAlignment="1">
      <alignment horizontal="right" vertical="center"/>
    </xf>
    <xf numFmtId="0" fontId="9" fillId="7" borderId="22" xfId="0" applyFont="1" applyFill="1" applyBorder="1" applyAlignment="1" applyProtection="1">
      <alignment horizontal="left"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right" vertical="center"/>
    </xf>
    <xf numFmtId="0" fontId="9" fillId="3" borderId="23" xfId="0" applyFont="1" applyFill="1" applyBorder="1" applyAlignment="1">
      <alignment horizontal="right" vertical="center"/>
    </xf>
    <xf numFmtId="0" fontId="2" fillId="3" borderId="47" xfId="0" applyFont="1" applyFill="1" applyBorder="1" applyAlignment="1">
      <alignment horizontal="right" vertical="center"/>
    </xf>
    <xf numFmtId="0" fontId="2" fillId="3" borderId="48" xfId="0" applyFont="1" applyFill="1" applyBorder="1" applyAlignment="1">
      <alignment horizontal="right" vertical="center"/>
    </xf>
    <xf numFmtId="0" fontId="8" fillId="3" borderId="47" xfId="0" applyFont="1" applyFill="1" applyBorder="1" applyAlignment="1">
      <alignment horizontal="right" vertical="center"/>
    </xf>
    <xf numFmtId="0" fontId="8" fillId="3" borderId="48" xfId="0" applyFont="1" applyFill="1" applyBorder="1" applyAlignment="1">
      <alignment horizontal="right" vertical="center"/>
    </xf>
    <xf numFmtId="0" fontId="3" fillId="2" borderId="38" xfId="0" applyFont="1" applyFill="1" applyBorder="1" applyAlignment="1">
      <alignment horizontal="right" vertical="center"/>
    </xf>
    <xf numFmtId="0" fontId="3" fillId="2" borderId="39" xfId="0" applyFont="1" applyFill="1" applyBorder="1" applyAlignment="1">
      <alignment horizontal="right" vertical="center"/>
    </xf>
    <xf numFmtId="0" fontId="2" fillId="2" borderId="47" xfId="0" applyFont="1" applyFill="1" applyBorder="1" applyAlignment="1">
      <alignment horizontal="right" vertical="center"/>
    </xf>
    <xf numFmtId="0" fontId="2" fillId="2" borderId="48" xfId="0" applyFont="1" applyFill="1" applyBorder="1" applyAlignment="1">
      <alignment horizontal="right" vertical="center"/>
    </xf>
    <xf numFmtId="0" fontId="12" fillId="7" borderId="17" xfId="0" applyFont="1" applyFill="1" applyBorder="1" applyAlignment="1" applyProtection="1">
      <alignment horizontal="center" vertical="center" wrapText="1"/>
      <protection locked="0"/>
    </xf>
    <xf numFmtId="0" fontId="12" fillId="7" borderId="21" xfId="0" applyFont="1" applyFill="1" applyBorder="1" applyAlignment="1" applyProtection="1">
      <alignment horizontal="center" vertical="center" wrapText="1"/>
      <protection locked="0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1E2"/>
      <color rgb="FFFF0066"/>
      <color rgb="FFFAB99C"/>
      <color rgb="FFFFD2D2"/>
      <color rgb="FFE4C9FF"/>
      <color rgb="FFFECBC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microsoft.com/office/2007/relationships/hdphoto" Target="../media/hdphoto1.wdp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8.jpeg"/><Relationship Id="rId1" Type="http://schemas.openxmlformats.org/officeDocument/2006/relationships/image" Target="../media/image4.png"/><Relationship Id="rId6" Type="http://schemas.openxmlformats.org/officeDocument/2006/relationships/image" Target="../media/image3.png"/><Relationship Id="rId5" Type="http://schemas.microsoft.com/office/2007/relationships/hdphoto" Target="../media/hdphoto2.wdp"/><Relationship Id="rId4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3.wdp"/><Relationship Id="rId1" Type="http://schemas.openxmlformats.org/officeDocument/2006/relationships/image" Target="../media/image10.png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07/relationships/hdphoto" Target="../media/hdphoto4.wdp"/><Relationship Id="rId1" Type="http://schemas.openxmlformats.org/officeDocument/2006/relationships/image" Target="../media/image1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WMF"/><Relationship Id="rId3" Type="http://schemas.openxmlformats.org/officeDocument/2006/relationships/image" Target="../media/image17.WMF"/><Relationship Id="rId7" Type="http://schemas.openxmlformats.org/officeDocument/2006/relationships/image" Target="../media/image21.WMF"/><Relationship Id="rId12" Type="http://schemas.openxmlformats.org/officeDocument/2006/relationships/image" Target="../media/image26.WMF"/><Relationship Id="rId2" Type="http://schemas.openxmlformats.org/officeDocument/2006/relationships/image" Target="../media/image16.png"/><Relationship Id="rId1" Type="http://schemas.openxmlformats.org/officeDocument/2006/relationships/image" Target="../media/image15.PNG"/><Relationship Id="rId6" Type="http://schemas.openxmlformats.org/officeDocument/2006/relationships/image" Target="../media/image20.PNG"/><Relationship Id="rId11" Type="http://schemas.openxmlformats.org/officeDocument/2006/relationships/image" Target="../media/image25.PNG"/><Relationship Id="rId5" Type="http://schemas.openxmlformats.org/officeDocument/2006/relationships/image" Target="../media/image19.WMF"/><Relationship Id="rId10" Type="http://schemas.openxmlformats.org/officeDocument/2006/relationships/image" Target="../media/image24.WMF"/><Relationship Id="rId4" Type="http://schemas.openxmlformats.org/officeDocument/2006/relationships/image" Target="../media/image18.WMF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130964</xdr:colOff>
      <xdr:row>15</xdr:row>
      <xdr:rowOff>140492</xdr:rowOff>
    </xdr:from>
    <xdr:to>
      <xdr:col>1</xdr:col>
      <xdr:colOff>608564</xdr:colOff>
      <xdr:row>25</xdr:row>
      <xdr:rowOff>132938</xdr:rowOff>
    </xdr:to>
    <xdr:grpSp>
      <xdr:nvGrpSpPr>
        <xdr:cNvPr id="15" name="Group 14"/>
        <xdr:cNvGrpSpPr/>
      </xdr:nvGrpSpPr>
      <xdr:grpSpPr>
        <a:xfrm>
          <a:off x="369089" y="2588417"/>
          <a:ext cx="477600" cy="1611696"/>
          <a:chOff x="392901" y="2188367"/>
          <a:chExt cx="477600" cy="1659321"/>
        </a:xfrm>
      </xdr:grpSpPr>
      <xdr:pic>
        <xdr:nvPicPr>
          <xdr:cNvPr id="6" name="Picture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5" y="2188367"/>
            <a:ext cx="360000" cy="360000"/>
          </a:xfrm>
          <a:prstGeom prst="rect">
            <a:avLst/>
          </a:prstGeom>
        </xdr:spPr>
      </xdr:pic>
      <xdr:pic>
        <xdr:nvPicPr>
          <xdr:cNvPr id="10" name="Picture 9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BEBA8EAE-BF5A-486C-A8C5-ECC9F3942E4B}">
                <a14:imgProps xmlns:a14="http://schemas.microsoft.com/office/drawing/2010/main">
                  <a14:imgLayer r:embed="rId3">
                    <a14:imgEffect>
                      <a14:brightnessContrast contrast="2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4" y="2524122"/>
            <a:ext cx="360000" cy="360000"/>
          </a:xfrm>
          <a:prstGeom prst="rect">
            <a:avLst/>
          </a:prstGeom>
        </xdr:spPr>
      </xdr:pic>
      <xdr:pic>
        <xdr:nvPicPr>
          <xdr:cNvPr id="11" name="Picture 10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4" y="2857499"/>
            <a:ext cx="360000" cy="360000"/>
          </a:xfrm>
          <a:prstGeom prst="rect">
            <a:avLst/>
          </a:prstGeom>
        </xdr:spPr>
      </xdr:pic>
      <xdr:pic>
        <xdr:nvPicPr>
          <xdr:cNvPr id="13" name="Picture 12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92901" y="3274223"/>
            <a:ext cx="477600" cy="252000"/>
          </a:xfrm>
          <a:prstGeom prst="rect">
            <a:avLst/>
          </a:prstGeom>
        </xdr:spPr>
      </xdr:pic>
      <xdr:pic>
        <xdr:nvPicPr>
          <xdr:cNvPr id="14" name="Picture 13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2438" y="3595688"/>
            <a:ext cx="357396" cy="252000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202401</xdr:colOff>
      <xdr:row>0</xdr:row>
      <xdr:rowOff>130968</xdr:rowOff>
    </xdr:from>
    <xdr:to>
      <xdr:col>9</xdr:col>
      <xdr:colOff>442232</xdr:colOff>
      <xdr:row>6</xdr:row>
      <xdr:rowOff>48165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526" y="130968"/>
          <a:ext cx="5400000" cy="917322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47</xdr:row>
      <xdr:rowOff>117497</xdr:rowOff>
    </xdr:from>
    <xdr:to>
      <xdr:col>11</xdr:col>
      <xdr:colOff>0</xdr:colOff>
      <xdr:row>52</xdr:row>
      <xdr:rowOff>149230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14975" y="8423297"/>
          <a:ext cx="962025" cy="8889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384970</xdr:colOff>
      <xdr:row>0</xdr:row>
      <xdr:rowOff>431800</xdr:rowOff>
    </xdr:from>
    <xdr:to>
      <xdr:col>8</xdr:col>
      <xdr:colOff>480220</xdr:colOff>
      <xdr:row>4</xdr:row>
      <xdr:rowOff>28575</xdr:rowOff>
    </xdr:to>
    <xdr:sp macro="" textlink="">
      <xdr:nvSpPr>
        <xdr:cNvPr id="2" name="Right Arrow 1"/>
        <xdr:cNvSpPr/>
      </xdr:nvSpPr>
      <xdr:spPr>
        <a:xfrm>
          <a:off x="3826670" y="431800"/>
          <a:ext cx="1085850" cy="854075"/>
        </a:xfrm>
        <a:prstGeom prst="rightArrow">
          <a:avLst/>
        </a:prstGeom>
        <a:solidFill>
          <a:schemeClr val="accent2"/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331779</xdr:colOff>
      <xdr:row>0</xdr:row>
      <xdr:rowOff>434973</xdr:rowOff>
    </xdr:from>
    <xdr:to>
      <xdr:col>16</xdr:col>
      <xdr:colOff>503229</xdr:colOff>
      <xdr:row>4</xdr:row>
      <xdr:rowOff>50799</xdr:rowOff>
    </xdr:to>
    <xdr:sp macro="" textlink="">
      <xdr:nvSpPr>
        <xdr:cNvPr id="3" name="Right Arrow 2"/>
        <xdr:cNvSpPr/>
      </xdr:nvSpPr>
      <xdr:spPr>
        <a:xfrm rot="10800000">
          <a:off x="8320079" y="434973"/>
          <a:ext cx="1327150" cy="873126"/>
        </a:xfrm>
        <a:prstGeom prst="rightArrow">
          <a:avLst/>
        </a:prstGeom>
        <a:solidFill>
          <a:schemeClr val="accent6">
            <a:lumMod val="7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21</xdr:col>
      <xdr:colOff>580705</xdr:colOff>
      <xdr:row>4</xdr:row>
      <xdr:rowOff>11869</xdr:rowOff>
    </xdr:from>
    <xdr:to>
      <xdr:col>25</xdr:col>
      <xdr:colOff>345280</xdr:colOff>
      <xdr:row>10</xdr:row>
      <xdr:rowOff>83344</xdr:rowOff>
    </xdr:to>
    <xdr:sp macro="" textlink="">
      <xdr:nvSpPr>
        <xdr:cNvPr id="4" name="Right Arrow 3"/>
        <xdr:cNvSpPr/>
      </xdr:nvSpPr>
      <xdr:spPr>
        <a:xfrm rot="10800000" flipV="1">
          <a:off x="13966505" y="1192969"/>
          <a:ext cx="1225075" cy="1277975"/>
        </a:xfrm>
        <a:prstGeom prst="rightArrow">
          <a:avLst/>
        </a:prstGeom>
        <a:solidFill>
          <a:schemeClr val="accent2">
            <a:lumMod val="60000"/>
            <a:lumOff val="40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dari Lembar "Beban KK" </a:t>
          </a:r>
        </a:p>
      </xdr:txBody>
    </xdr:sp>
    <xdr:clientData/>
  </xdr:twoCellAnchor>
  <xdr:twoCellAnchor>
    <xdr:from>
      <xdr:col>21</xdr:col>
      <xdr:colOff>598962</xdr:colOff>
      <xdr:row>10</xdr:row>
      <xdr:rowOff>190462</xdr:rowOff>
    </xdr:from>
    <xdr:to>
      <xdr:col>25</xdr:col>
      <xdr:colOff>363537</xdr:colOff>
      <xdr:row>16</xdr:row>
      <xdr:rowOff>50006</xdr:rowOff>
    </xdr:to>
    <xdr:sp macro="" textlink="">
      <xdr:nvSpPr>
        <xdr:cNvPr id="5" name="Right Arrow 4"/>
        <xdr:cNvSpPr/>
      </xdr:nvSpPr>
      <xdr:spPr>
        <a:xfrm rot="10800000" flipV="1">
          <a:off x="13984762" y="2578062"/>
          <a:ext cx="1225075" cy="1193044"/>
        </a:xfrm>
        <a:prstGeom prst="rightArrow">
          <a:avLst/>
        </a:prstGeom>
        <a:solidFill>
          <a:schemeClr val="accent6">
            <a:lumMod val="60000"/>
            <a:lumOff val="40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dari</a:t>
          </a:r>
          <a:r>
            <a:rPr lang="en-GB" sz="1100" baseline="0"/>
            <a:t> </a:t>
          </a:r>
          <a:r>
            <a:rPr lang="en-GB" sz="1100"/>
            <a:t>Lembar "Beban IS"</a:t>
          </a:r>
        </a:p>
      </xdr:txBody>
    </xdr:sp>
    <xdr:clientData/>
  </xdr:twoCellAnchor>
  <xdr:twoCellAnchor>
    <xdr:from>
      <xdr:col>21</xdr:col>
      <xdr:colOff>588643</xdr:colOff>
      <xdr:row>17</xdr:row>
      <xdr:rowOff>14250</xdr:rowOff>
    </xdr:from>
    <xdr:to>
      <xdr:col>25</xdr:col>
      <xdr:colOff>353218</xdr:colOff>
      <xdr:row>22</xdr:row>
      <xdr:rowOff>171450</xdr:rowOff>
    </xdr:to>
    <xdr:sp macro="" textlink="">
      <xdr:nvSpPr>
        <xdr:cNvPr id="6" name="Right Arrow 5"/>
        <xdr:cNvSpPr/>
      </xdr:nvSpPr>
      <xdr:spPr>
        <a:xfrm rot="10800000" flipV="1">
          <a:off x="13974443" y="3951250"/>
          <a:ext cx="1225075" cy="1224000"/>
        </a:xfrm>
        <a:prstGeom prst="rightArrow">
          <a:avLst/>
        </a:prstGeom>
        <a:solidFill>
          <a:schemeClr val="accent5">
            <a:lumMod val="40000"/>
            <a:lumOff val="60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dari Lembar</a:t>
          </a:r>
        </a:p>
        <a:p>
          <a:pPr algn="l"/>
          <a:r>
            <a:rPr lang="en-GB" sz="1100"/>
            <a:t>"Beban PUE"</a:t>
          </a:r>
        </a:p>
      </xdr:txBody>
    </xdr:sp>
    <xdr:clientData/>
  </xdr:twoCellAnchor>
  <xdr:twoCellAnchor>
    <xdr:from>
      <xdr:col>12</xdr:col>
      <xdr:colOff>685796</xdr:colOff>
      <xdr:row>24</xdr:row>
      <xdr:rowOff>9526</xdr:rowOff>
    </xdr:from>
    <xdr:to>
      <xdr:col>16</xdr:col>
      <xdr:colOff>2066924</xdr:colOff>
      <xdr:row>29</xdr:row>
      <xdr:rowOff>95251</xdr:rowOff>
    </xdr:to>
    <xdr:sp macro="" textlink="">
      <xdr:nvSpPr>
        <xdr:cNvPr id="7" name="Right Arrow 6"/>
        <xdr:cNvSpPr/>
      </xdr:nvSpPr>
      <xdr:spPr>
        <a:xfrm rot="10800000" flipV="1">
          <a:off x="8705846" y="5324476"/>
          <a:ext cx="2476503" cy="1028700"/>
        </a:xfrm>
        <a:prstGeom prst="rightArrow">
          <a:avLst/>
        </a:prstGeom>
        <a:solidFill>
          <a:srgbClr val="CC99FF"/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dari Lembar</a:t>
          </a:r>
        </a:p>
        <a:p>
          <a:pPr algn="l"/>
          <a:r>
            <a:rPr lang="en-GB" sz="1100"/>
            <a:t>"Parameter Teknis SMG"</a:t>
          </a:r>
        </a:p>
      </xdr:txBody>
    </xdr:sp>
    <xdr:clientData/>
  </xdr:twoCellAnchor>
  <xdr:twoCellAnchor>
    <xdr:from>
      <xdr:col>0</xdr:col>
      <xdr:colOff>81281</xdr:colOff>
      <xdr:row>19</xdr:row>
      <xdr:rowOff>56934</xdr:rowOff>
    </xdr:from>
    <xdr:to>
      <xdr:col>1</xdr:col>
      <xdr:colOff>718458</xdr:colOff>
      <xdr:row>21</xdr:row>
      <xdr:rowOff>142240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81" y="4520077"/>
          <a:ext cx="756920" cy="455420"/>
        </a:xfrm>
        <a:prstGeom prst="rect">
          <a:avLst/>
        </a:prstGeom>
      </xdr:spPr>
    </xdr:pic>
    <xdr:clientData/>
  </xdr:twoCellAnchor>
  <xdr:twoCellAnchor>
    <xdr:from>
      <xdr:col>1</xdr:col>
      <xdr:colOff>276631</xdr:colOff>
      <xdr:row>3</xdr:row>
      <xdr:rowOff>153359</xdr:rowOff>
    </xdr:from>
    <xdr:to>
      <xdr:col>1</xdr:col>
      <xdr:colOff>1360714</xdr:colOff>
      <xdr:row>7</xdr:row>
      <xdr:rowOff>106344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374" y="1209273"/>
          <a:ext cx="1084083" cy="725871"/>
        </a:xfrm>
        <a:prstGeom prst="rect">
          <a:avLst/>
        </a:prstGeom>
      </xdr:spPr>
    </xdr:pic>
    <xdr:clientData/>
  </xdr:twoCellAnchor>
  <xdr:twoCellAnchor>
    <xdr:from>
      <xdr:col>24</xdr:col>
      <xdr:colOff>101601</xdr:colOff>
      <xdr:row>8</xdr:row>
      <xdr:rowOff>91439</xdr:rowOff>
    </xdr:from>
    <xdr:to>
      <xdr:col>25</xdr:col>
      <xdr:colOff>205896</xdr:colOff>
      <xdr:row>11</xdr:row>
      <xdr:rowOff>40640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89761" y="2092959"/>
          <a:ext cx="713895" cy="528321"/>
        </a:xfrm>
        <a:prstGeom prst="rect">
          <a:avLst/>
        </a:prstGeom>
      </xdr:spPr>
    </xdr:pic>
    <xdr:clientData/>
  </xdr:twoCellAnchor>
  <xdr:twoCellAnchor>
    <xdr:from>
      <xdr:col>24</xdr:col>
      <xdr:colOff>132079</xdr:colOff>
      <xdr:row>13</xdr:row>
      <xdr:rowOff>162498</xdr:rowOff>
    </xdr:from>
    <xdr:to>
      <xdr:col>25</xdr:col>
      <xdr:colOff>223520</xdr:colOff>
      <xdr:row>17</xdr:row>
      <xdr:rowOff>29081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rightnessContrast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20239" y="3271458"/>
          <a:ext cx="701041" cy="659063"/>
        </a:xfrm>
        <a:prstGeom prst="rect">
          <a:avLst/>
        </a:prstGeom>
      </xdr:spPr>
    </xdr:pic>
    <xdr:clientData/>
  </xdr:twoCellAnchor>
  <xdr:twoCellAnchor>
    <xdr:from>
      <xdr:col>24</xdr:col>
      <xdr:colOff>213359</xdr:colOff>
      <xdr:row>20</xdr:row>
      <xdr:rowOff>110220</xdr:rowOff>
    </xdr:from>
    <xdr:to>
      <xdr:col>25</xdr:col>
      <xdr:colOff>314960</xdr:colOff>
      <xdr:row>23</xdr:row>
      <xdr:rowOff>158794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1519" y="4722860"/>
          <a:ext cx="711201" cy="617534"/>
        </a:xfrm>
        <a:prstGeom prst="rect">
          <a:avLst/>
        </a:prstGeom>
      </xdr:spPr>
    </xdr:pic>
    <xdr:clientData/>
  </xdr:twoCellAnchor>
  <xdr:twoCellAnchor>
    <xdr:from>
      <xdr:col>14</xdr:col>
      <xdr:colOff>91440</xdr:colOff>
      <xdr:row>27</xdr:row>
      <xdr:rowOff>107734</xdr:rowOff>
    </xdr:from>
    <xdr:to>
      <xdr:col>16</xdr:col>
      <xdr:colOff>682361</xdr:colOff>
      <xdr:row>29</xdr:row>
      <xdr:rowOff>142240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76080" y="6041174"/>
          <a:ext cx="804281" cy="4104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226217</xdr:colOff>
      <xdr:row>0</xdr:row>
      <xdr:rowOff>35718</xdr:rowOff>
    </xdr:from>
    <xdr:to>
      <xdr:col>20</xdr:col>
      <xdr:colOff>244860</xdr:colOff>
      <xdr:row>0</xdr:row>
      <xdr:rowOff>1115718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48" y="35718"/>
          <a:ext cx="1080000" cy="108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226218</xdr:colOff>
      <xdr:row>0</xdr:row>
      <xdr:rowOff>23812</xdr:rowOff>
    </xdr:from>
    <xdr:to>
      <xdr:col>20</xdr:col>
      <xdr:colOff>355419</xdr:colOff>
      <xdr:row>0</xdr:row>
      <xdr:rowOff>1103812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9781" y="23812"/>
          <a:ext cx="1080000" cy="108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452436</xdr:colOff>
      <xdr:row>0</xdr:row>
      <xdr:rowOff>0</xdr:rowOff>
    </xdr:from>
    <xdr:to>
      <xdr:col>14</xdr:col>
      <xdr:colOff>20342</xdr:colOff>
      <xdr:row>0</xdr:row>
      <xdr:rowOff>1080000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5186" y="0"/>
          <a:ext cx="1080000" cy="1080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881061</xdr:colOff>
      <xdr:row>0</xdr:row>
      <xdr:rowOff>83342</xdr:rowOff>
    </xdr:from>
    <xdr:to>
      <xdr:col>12</xdr:col>
      <xdr:colOff>8606</xdr:colOff>
      <xdr:row>0</xdr:row>
      <xdr:rowOff>1055342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499" y="83342"/>
          <a:ext cx="1842170" cy="972000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762003</xdr:colOff>
      <xdr:row>19</xdr:row>
      <xdr:rowOff>57151</xdr:rowOff>
    </xdr:from>
    <xdr:to>
      <xdr:col>10</xdr:col>
      <xdr:colOff>155124</xdr:colOff>
      <xdr:row>28</xdr:row>
      <xdr:rowOff>144236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959932" y="4969330"/>
          <a:ext cx="4182835" cy="180158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9347</xdr:colOff>
      <xdr:row>22</xdr:row>
      <xdr:rowOff>152397</xdr:rowOff>
    </xdr:from>
    <xdr:to>
      <xdr:col>7</xdr:col>
      <xdr:colOff>108861</xdr:colOff>
      <xdr:row>38</xdr:row>
      <xdr:rowOff>130628</xdr:rowOff>
    </xdr:to>
    <xdr:grpSp>
      <xdr:nvGrpSpPr>
        <xdr:cNvPr id="19" name="Group 18"/>
        <xdr:cNvGrpSpPr/>
      </xdr:nvGrpSpPr>
      <xdr:grpSpPr>
        <a:xfrm>
          <a:off x="9347" y="4601933"/>
          <a:ext cx="4807585" cy="3026231"/>
          <a:chOff x="9347" y="4702626"/>
          <a:chExt cx="4584428" cy="3113316"/>
        </a:xfrm>
      </xdr:grpSpPr>
      <xdr:pic>
        <xdr:nvPicPr>
          <xdr:cNvPr id="18" name="Picture 17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329540" y="4702626"/>
            <a:ext cx="1240974" cy="1240974"/>
          </a:xfrm>
          <a:prstGeom prst="rect">
            <a:avLst/>
          </a:prstGeom>
        </xdr:spPr>
      </xdr:pic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8343" y="5501560"/>
            <a:ext cx="450964" cy="452925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flipH="1">
            <a:off x="9347" y="4880755"/>
            <a:ext cx="578480" cy="2336474"/>
          </a:xfrm>
          <a:prstGeom prst="rect">
            <a:avLst/>
          </a:prstGeom>
        </xdr:spPr>
      </xdr:pic>
      <xdr:pic>
        <xdr:nvPicPr>
          <xdr:cNvPr id="6" name="Picture 5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flipH="1">
            <a:off x="2884711" y="6088842"/>
            <a:ext cx="772887" cy="1152076"/>
          </a:xfrm>
          <a:prstGeom prst="rect">
            <a:avLst/>
          </a:prstGeom>
        </xdr:spPr>
      </xdr:pic>
      <xdr:pic>
        <xdr:nvPicPr>
          <xdr:cNvPr id="9" name="Picture 8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4029" y="4822971"/>
            <a:ext cx="842085" cy="1384238"/>
          </a:xfrm>
          <a:prstGeom prst="rect">
            <a:avLst/>
          </a:prstGeom>
        </xdr:spPr>
      </xdr:pic>
      <xdr:pic>
        <xdr:nvPicPr>
          <xdr:cNvPr id="10" name="Picture 9"/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28058" y="5442856"/>
            <a:ext cx="1121227" cy="1121227"/>
          </a:xfrm>
          <a:prstGeom prst="rect">
            <a:avLst/>
          </a:prstGeom>
        </xdr:spPr>
      </xdr:pic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39488" y="6041572"/>
            <a:ext cx="1725024" cy="1146267"/>
          </a:xfrm>
          <a:prstGeom prst="rect">
            <a:avLst/>
          </a:prstGeom>
        </xdr:spPr>
      </xdr:pic>
      <xdr:pic>
        <xdr:nvPicPr>
          <xdr:cNvPr id="15" name="Picture 14"/>
          <xdr:cNvPicPr>
            <a:picLocks noChangeAspect="1"/>
          </xdr:cNvPicPr>
        </xdr:nvPicPr>
        <xdr:blipFill>
          <a:blip xmlns:r="http://schemas.openxmlformats.org/officeDocument/2006/relationships" r:embed="rId8" cstate="print">
            <a:lum bright="-20000" contrast="4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8941" y="4882602"/>
            <a:ext cx="1393374" cy="867013"/>
          </a:xfrm>
          <a:prstGeom prst="rect">
            <a:avLst/>
          </a:prstGeom>
        </xdr:spPr>
      </xdr:pic>
      <xdr:pic>
        <xdr:nvPicPr>
          <xdr:cNvPr id="11" name="Picture 10"/>
          <xdr:cNvPicPr>
            <a:picLocks noChangeAspect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243936" y="5211869"/>
            <a:ext cx="1197434" cy="1210707"/>
          </a:xfrm>
          <a:prstGeom prst="rect">
            <a:avLst/>
          </a:prstGeom>
        </xdr:spPr>
      </xdr:pic>
      <xdr:pic>
        <xdr:nvPicPr>
          <xdr:cNvPr id="16" name="Picture 15"/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438403" y="5627916"/>
            <a:ext cx="710238" cy="941664"/>
          </a:xfrm>
          <a:prstGeom prst="rect">
            <a:avLst/>
          </a:prstGeom>
        </xdr:spPr>
      </xdr:pic>
      <xdr:pic>
        <xdr:nvPicPr>
          <xdr:cNvPr id="7" name="Picture 6"/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178633" y="6400800"/>
            <a:ext cx="1415142" cy="1415142"/>
          </a:xfrm>
          <a:prstGeom prst="rect">
            <a:avLst/>
          </a:prstGeom>
        </xdr:spPr>
      </xdr:pic>
      <xdr:pic>
        <xdr:nvPicPr>
          <xdr:cNvPr id="12" name="Picture 11"/>
          <xdr:cNvPicPr>
            <a:picLocks noChangeAspect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34885" y="6346372"/>
            <a:ext cx="1360714" cy="1077598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vid\Documents\140602%20EnDev%20ID%20-%20Load%20and%20Tariff%20Calculation%20Tool%20DAVID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liance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8:K52"/>
  <sheetViews>
    <sheetView showGridLines="0" view="pageBreakPreview" zoomScaleNormal="80" zoomScaleSheetLayoutView="100" workbookViewId="0">
      <selection activeCell="A53" sqref="A53"/>
    </sheetView>
  </sheetViews>
  <sheetFormatPr defaultColWidth="9.140625" defaultRowHeight="12.75" x14ac:dyDescent="0.25"/>
  <cols>
    <col min="1" max="1" width="3.5703125" style="242" customWidth="1"/>
    <col min="2" max="2" width="10" style="242" customWidth="1"/>
    <col min="3" max="3" width="7.42578125" style="242" customWidth="1"/>
    <col min="4" max="10" width="10" style="242" customWidth="1"/>
    <col min="11" max="11" width="4" style="242" customWidth="1"/>
    <col min="12" max="16384" width="9.140625" style="242"/>
  </cols>
  <sheetData>
    <row r="8" spans="1:11" ht="13.9" x14ac:dyDescent="0.3">
      <c r="B8" s="269" t="s">
        <v>203</v>
      </c>
      <c r="C8" s="269"/>
      <c r="D8" s="269"/>
      <c r="E8" s="269"/>
      <c r="F8" s="269"/>
      <c r="G8" s="269"/>
      <c r="H8" s="269"/>
      <c r="I8" s="269"/>
      <c r="J8" s="269"/>
      <c r="K8" s="155"/>
    </row>
    <row r="9" spans="1:11" ht="13.9" x14ac:dyDescent="0.3">
      <c r="B9" s="155"/>
      <c r="C9" s="155"/>
      <c r="D9" s="155"/>
      <c r="E9" s="155"/>
      <c r="F9" s="155"/>
      <c r="G9" s="155"/>
      <c r="H9" s="155"/>
      <c r="I9" s="155"/>
      <c r="J9" s="155"/>
      <c r="K9" s="155"/>
    </row>
    <row r="10" spans="1:11" ht="12.75" customHeight="1" x14ac:dyDescent="0.25">
      <c r="B10" s="267" t="s">
        <v>213</v>
      </c>
      <c r="C10" s="267"/>
      <c r="D10" s="267"/>
      <c r="E10" s="267"/>
      <c r="F10" s="267"/>
      <c r="G10" s="267"/>
      <c r="H10" s="267"/>
      <c r="I10" s="267"/>
      <c r="J10" s="267"/>
    </row>
    <row r="11" spans="1:11" x14ac:dyDescent="0.25">
      <c r="B11" s="267"/>
      <c r="C11" s="267"/>
      <c r="D11" s="267"/>
      <c r="E11" s="267"/>
      <c r="F11" s="267"/>
      <c r="G11" s="267"/>
      <c r="H11" s="267"/>
      <c r="I11" s="267"/>
      <c r="J11" s="267"/>
    </row>
    <row r="12" spans="1:11" x14ac:dyDescent="0.25">
      <c r="B12" s="267"/>
      <c r="C12" s="267"/>
      <c r="D12" s="267"/>
      <c r="E12" s="267"/>
      <c r="F12" s="267"/>
      <c r="G12" s="267"/>
      <c r="H12" s="267"/>
      <c r="I12" s="267"/>
      <c r="J12" s="267"/>
    </row>
    <row r="13" spans="1:11" ht="13.15" x14ac:dyDescent="0.15">
      <c r="B13" s="264" t="s">
        <v>204</v>
      </c>
      <c r="C13" s="258"/>
      <c r="D13" s="258"/>
      <c r="E13" s="258"/>
      <c r="F13" s="258"/>
      <c r="G13" s="258"/>
      <c r="H13" s="258"/>
      <c r="I13" s="258"/>
      <c r="J13" s="258"/>
    </row>
    <row r="14" spans="1:11" ht="13.15" x14ac:dyDescent="0.3">
      <c r="B14" s="263" t="s">
        <v>205</v>
      </c>
      <c r="C14" s="249"/>
      <c r="D14" s="249"/>
      <c r="E14" s="249"/>
      <c r="F14" s="249"/>
      <c r="G14" s="249"/>
      <c r="H14" s="249"/>
      <c r="I14" s="249"/>
      <c r="J14" s="249"/>
      <c r="K14" s="249"/>
    </row>
    <row r="15" spans="1:11" ht="13.15" x14ac:dyDescent="0.3">
      <c r="A15" s="251"/>
      <c r="B15" s="271" t="s">
        <v>214</v>
      </c>
      <c r="C15" s="271"/>
      <c r="D15" s="271"/>
      <c r="E15" s="271"/>
      <c r="F15" s="271"/>
      <c r="G15" s="271"/>
      <c r="H15" s="271"/>
      <c r="I15" s="271"/>
      <c r="J15" s="271"/>
      <c r="K15" s="252"/>
    </row>
    <row r="16" spans="1:11" ht="13.15" x14ac:dyDescent="0.3">
      <c r="B16" s="249"/>
      <c r="C16" s="249"/>
      <c r="D16" s="249"/>
      <c r="E16" s="249"/>
      <c r="F16" s="249"/>
      <c r="G16" s="249"/>
      <c r="H16" s="249"/>
      <c r="I16" s="249"/>
      <c r="J16" s="249"/>
      <c r="K16" s="249"/>
    </row>
    <row r="17" spans="1:11" x14ac:dyDescent="0.25">
      <c r="C17" s="278" t="s">
        <v>86</v>
      </c>
      <c r="D17" s="272" t="s">
        <v>212</v>
      </c>
      <c r="E17" s="272"/>
      <c r="F17" s="272"/>
      <c r="G17" s="272"/>
      <c r="H17" s="272"/>
      <c r="I17" s="272"/>
      <c r="J17" s="272"/>
      <c r="K17" s="249"/>
    </row>
    <row r="18" spans="1:11" x14ac:dyDescent="0.25">
      <c r="C18" s="278"/>
      <c r="D18" s="272"/>
      <c r="E18" s="272"/>
      <c r="F18" s="272"/>
      <c r="G18" s="272"/>
      <c r="H18" s="272"/>
      <c r="I18" s="272"/>
      <c r="J18" s="272"/>
      <c r="K18" s="249"/>
    </row>
    <row r="19" spans="1:11" x14ac:dyDescent="0.25">
      <c r="C19" s="278" t="s">
        <v>206</v>
      </c>
      <c r="D19" s="272" t="s">
        <v>211</v>
      </c>
      <c r="E19" s="272"/>
      <c r="F19" s="272"/>
      <c r="G19" s="272"/>
      <c r="H19" s="272"/>
      <c r="I19" s="272"/>
      <c r="J19" s="272"/>
      <c r="K19" s="249"/>
    </row>
    <row r="20" spans="1:11" x14ac:dyDescent="0.25">
      <c r="C20" s="278"/>
      <c r="D20" s="272"/>
      <c r="E20" s="272"/>
      <c r="F20" s="272"/>
      <c r="G20" s="272"/>
      <c r="H20" s="272"/>
      <c r="I20" s="272"/>
      <c r="J20" s="272"/>
      <c r="K20" s="249"/>
    </row>
    <row r="21" spans="1:11" ht="12.75" customHeight="1" x14ac:dyDescent="0.25">
      <c r="C21" s="278" t="s">
        <v>56</v>
      </c>
      <c r="D21" s="272" t="s">
        <v>210</v>
      </c>
      <c r="E21" s="272"/>
      <c r="F21" s="272"/>
      <c r="G21" s="272"/>
      <c r="H21" s="272"/>
      <c r="I21" s="272"/>
      <c r="J21" s="272"/>
      <c r="K21" s="249"/>
    </row>
    <row r="22" spans="1:11" x14ac:dyDescent="0.25">
      <c r="C22" s="278"/>
      <c r="D22" s="272"/>
      <c r="E22" s="272"/>
      <c r="F22" s="272"/>
      <c r="G22" s="272"/>
      <c r="H22" s="272"/>
      <c r="I22" s="272"/>
      <c r="J22" s="272"/>
      <c r="K22" s="249"/>
    </row>
    <row r="23" spans="1:11" x14ac:dyDescent="0.25">
      <c r="C23" s="278" t="s">
        <v>58</v>
      </c>
      <c r="D23" s="270" t="s">
        <v>209</v>
      </c>
      <c r="E23" s="270"/>
      <c r="F23" s="270"/>
      <c r="G23" s="270"/>
      <c r="H23" s="270"/>
      <c r="I23" s="270"/>
      <c r="J23" s="270"/>
      <c r="K23" s="249"/>
    </row>
    <row r="24" spans="1:11" x14ac:dyDescent="0.25">
      <c r="C24" s="278"/>
      <c r="D24" s="270"/>
      <c r="E24" s="270"/>
      <c r="F24" s="270"/>
      <c r="G24" s="270"/>
      <c r="H24" s="270"/>
      <c r="I24" s="270"/>
      <c r="J24" s="270"/>
      <c r="K24" s="249"/>
    </row>
    <row r="25" spans="1:11" ht="12.75" customHeight="1" x14ac:dyDescent="0.25">
      <c r="C25" s="278" t="s">
        <v>207</v>
      </c>
      <c r="D25" s="272" t="s">
        <v>208</v>
      </c>
      <c r="E25" s="272"/>
      <c r="F25" s="272"/>
      <c r="G25" s="272"/>
      <c r="H25" s="272"/>
      <c r="I25" s="272"/>
      <c r="J25" s="272"/>
      <c r="K25" s="249"/>
    </row>
    <row r="26" spans="1:11" x14ac:dyDescent="0.25">
      <c r="B26" s="249"/>
      <c r="C26" s="278"/>
      <c r="D26" s="272"/>
      <c r="E26" s="272"/>
      <c r="F26" s="272"/>
      <c r="G26" s="272"/>
      <c r="H26" s="272"/>
      <c r="I26" s="272"/>
      <c r="J26" s="272"/>
      <c r="K26" s="249"/>
    </row>
    <row r="27" spans="1:11" ht="13.15" x14ac:dyDescent="0.3">
      <c r="B27" s="249"/>
      <c r="C27" s="249"/>
      <c r="D27" s="249"/>
      <c r="E27" s="249"/>
      <c r="F27" s="249"/>
      <c r="G27" s="249"/>
      <c r="H27" s="249"/>
      <c r="I27" s="249"/>
      <c r="J27" s="249"/>
      <c r="K27" s="249"/>
    </row>
    <row r="28" spans="1:11" ht="13.15" x14ac:dyDescent="0.3">
      <c r="A28" s="251"/>
      <c r="B28" s="253" t="s">
        <v>215</v>
      </c>
      <c r="C28" s="252"/>
      <c r="D28" s="252"/>
      <c r="E28" s="252"/>
      <c r="F28" s="252"/>
      <c r="G28" s="252"/>
      <c r="H28" s="252"/>
      <c r="I28" s="252"/>
      <c r="J28" s="252"/>
      <c r="K28" s="252"/>
    </row>
    <row r="29" spans="1:11" ht="13.9" thickBot="1" x14ac:dyDescent="0.35">
      <c r="B29" s="249"/>
      <c r="C29" s="249"/>
      <c r="D29" s="249"/>
      <c r="E29" s="249"/>
      <c r="F29" s="249"/>
      <c r="G29" s="249"/>
      <c r="H29" s="249"/>
      <c r="I29" s="249"/>
      <c r="J29" s="249"/>
      <c r="K29" s="249"/>
    </row>
    <row r="30" spans="1:11" ht="14.45" thickTop="1" thickBot="1" x14ac:dyDescent="0.35">
      <c r="B30" s="243" t="s">
        <v>54</v>
      </c>
      <c r="C30" s="250" t="s">
        <v>226</v>
      </c>
      <c r="E30" s="235" t="s">
        <v>54</v>
      </c>
      <c r="F30" s="250" t="s">
        <v>223</v>
      </c>
      <c r="G30" s="249"/>
      <c r="H30" s="249"/>
      <c r="I30" s="249"/>
      <c r="J30" s="249"/>
      <c r="K30" s="249"/>
    </row>
    <row r="31" spans="1:11" ht="14.45" thickTop="1" thickBot="1" x14ac:dyDescent="0.35">
      <c r="B31" s="244" t="s">
        <v>54</v>
      </c>
      <c r="C31" s="250" t="s">
        <v>227</v>
      </c>
      <c r="E31" s="236" t="s">
        <v>54</v>
      </c>
      <c r="F31" s="250" t="s">
        <v>224</v>
      </c>
      <c r="G31" s="249"/>
      <c r="H31" s="249"/>
      <c r="I31" s="249"/>
      <c r="J31" s="249"/>
      <c r="K31" s="249"/>
    </row>
    <row r="32" spans="1:11" ht="15.6" customHeight="1" thickTop="1" thickBot="1" x14ac:dyDescent="0.35">
      <c r="B32" s="260"/>
      <c r="C32" s="260"/>
      <c r="D32" s="260"/>
      <c r="E32" s="237" t="s">
        <v>54</v>
      </c>
      <c r="F32" s="250" t="s">
        <v>225</v>
      </c>
    </row>
    <row r="33" spans="1:11" ht="22.15" customHeight="1" thickTop="1" x14ac:dyDescent="0.25">
      <c r="A33" s="279" t="s">
        <v>228</v>
      </c>
      <c r="B33" s="279"/>
      <c r="C33" s="279"/>
      <c r="D33" s="279"/>
      <c r="E33" s="279"/>
      <c r="F33" s="279"/>
      <c r="G33" s="279"/>
      <c r="H33" s="279"/>
      <c r="I33" s="279"/>
      <c r="J33" s="279"/>
      <c r="K33" s="279"/>
    </row>
    <row r="34" spans="1:11" ht="13.15" x14ac:dyDescent="0.3">
      <c r="A34" s="251"/>
      <c r="B34" s="255" t="s">
        <v>216</v>
      </c>
      <c r="C34" s="251"/>
      <c r="D34" s="251"/>
      <c r="E34" s="251"/>
      <c r="F34" s="251"/>
      <c r="G34" s="251"/>
      <c r="H34" s="251"/>
      <c r="I34" s="251"/>
      <c r="J34" s="251"/>
      <c r="K34" s="251"/>
    </row>
    <row r="35" spans="1:11" ht="13.15" x14ac:dyDescent="0.3">
      <c r="B35" s="254"/>
    </row>
    <row r="36" spans="1:11" ht="15" customHeight="1" x14ac:dyDescent="0.3">
      <c r="B36" s="273" t="s">
        <v>217</v>
      </c>
      <c r="C36" s="273"/>
      <c r="D36" s="273"/>
      <c r="E36" s="254" t="s">
        <v>229</v>
      </c>
    </row>
    <row r="37" spans="1:11" ht="15" customHeight="1" x14ac:dyDescent="0.3">
      <c r="B37" s="274" t="s">
        <v>218</v>
      </c>
      <c r="C37" s="274"/>
      <c r="D37" s="274"/>
      <c r="E37" s="242" t="s">
        <v>230</v>
      </c>
    </row>
    <row r="38" spans="1:11" ht="15" customHeight="1" x14ac:dyDescent="0.3">
      <c r="B38" s="275" t="s">
        <v>219</v>
      </c>
      <c r="C38" s="275"/>
      <c r="D38" s="275"/>
      <c r="E38" s="242" t="s">
        <v>231</v>
      </c>
    </row>
    <row r="39" spans="1:11" ht="15" customHeight="1" x14ac:dyDescent="0.3">
      <c r="B39" s="276" t="s">
        <v>220</v>
      </c>
      <c r="C39" s="276"/>
      <c r="D39" s="276"/>
      <c r="E39" s="242" t="s">
        <v>232</v>
      </c>
    </row>
    <row r="40" spans="1:11" ht="15" customHeight="1" x14ac:dyDescent="0.3">
      <c r="B40" s="268" t="s">
        <v>221</v>
      </c>
      <c r="C40" s="268"/>
      <c r="D40" s="268"/>
      <c r="E40" s="242" t="s">
        <v>233</v>
      </c>
    </row>
    <row r="41" spans="1:11" ht="15" customHeight="1" x14ac:dyDescent="0.3">
      <c r="B41" s="277" t="s">
        <v>172</v>
      </c>
      <c r="C41" s="277"/>
      <c r="D41" s="277"/>
      <c r="E41" s="242" t="s">
        <v>234</v>
      </c>
    </row>
    <row r="43" spans="1:11" ht="13.15" x14ac:dyDescent="0.3">
      <c r="A43" s="251"/>
      <c r="B43" s="256" t="s">
        <v>222</v>
      </c>
      <c r="C43" s="256"/>
      <c r="D43" s="256"/>
      <c r="E43" s="256"/>
      <c r="F43" s="256"/>
      <c r="G43" s="256"/>
      <c r="H43" s="256"/>
      <c r="I43" s="256"/>
      <c r="J43" s="256"/>
      <c r="K43" s="251"/>
    </row>
    <row r="44" spans="1:11" ht="13.15" x14ac:dyDescent="0.3">
      <c r="C44" s="247"/>
      <c r="D44" s="246"/>
      <c r="E44" s="246"/>
      <c r="F44" s="246"/>
      <c r="G44" s="248"/>
      <c r="H44" s="248"/>
    </row>
    <row r="45" spans="1:11" ht="13.15" x14ac:dyDescent="0.3">
      <c r="B45" s="245" t="s">
        <v>235</v>
      </c>
    </row>
    <row r="46" spans="1:11" ht="13.15" x14ac:dyDescent="0.3">
      <c r="B46" s="245" t="s">
        <v>236</v>
      </c>
    </row>
    <row r="47" spans="1:11" ht="13.15" x14ac:dyDescent="0.3">
      <c r="B47" s="245" t="s">
        <v>237</v>
      </c>
    </row>
    <row r="48" spans="1:11" ht="13.15" x14ac:dyDescent="0.3">
      <c r="B48" s="245" t="s">
        <v>238</v>
      </c>
    </row>
    <row r="49" spans="1:9" x14ac:dyDescent="0.25">
      <c r="B49" s="245" t="s">
        <v>239</v>
      </c>
    </row>
    <row r="50" spans="1:9" x14ac:dyDescent="0.25">
      <c r="B50" s="245" t="s">
        <v>240</v>
      </c>
    </row>
    <row r="51" spans="1:9" x14ac:dyDescent="0.25">
      <c r="A51" s="259"/>
      <c r="B51" s="259"/>
      <c r="C51" s="259"/>
      <c r="D51" s="259"/>
      <c r="E51" s="259"/>
      <c r="F51" s="259"/>
      <c r="G51" s="259"/>
      <c r="H51" s="259"/>
      <c r="I51" s="259"/>
    </row>
    <row r="52" spans="1:9" x14ac:dyDescent="0.25">
      <c r="A52" s="242" t="s">
        <v>241</v>
      </c>
    </row>
  </sheetData>
  <sheetProtection sheet="1" objects="1" scenarios="1" selectLockedCells="1"/>
  <mergeCells count="20">
    <mergeCell ref="B41:D41"/>
    <mergeCell ref="C17:C18"/>
    <mergeCell ref="C19:C20"/>
    <mergeCell ref="C21:C22"/>
    <mergeCell ref="C23:C24"/>
    <mergeCell ref="C25:C26"/>
    <mergeCell ref="A33:K33"/>
    <mergeCell ref="B10:J12"/>
    <mergeCell ref="B40:D40"/>
    <mergeCell ref="B8:J8"/>
    <mergeCell ref="D23:J24"/>
    <mergeCell ref="B15:J15"/>
    <mergeCell ref="D25:J26"/>
    <mergeCell ref="D21:J22"/>
    <mergeCell ref="D19:J20"/>
    <mergeCell ref="D17:J18"/>
    <mergeCell ref="B36:D36"/>
    <mergeCell ref="B37:D37"/>
    <mergeCell ref="B38:D38"/>
    <mergeCell ref="B39:D39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Z42"/>
  <sheetViews>
    <sheetView tabSelected="1" view="pageBreakPreview" zoomScale="70" zoomScaleNormal="80" zoomScaleSheetLayoutView="70" zoomScalePageLayoutView="40" workbookViewId="0">
      <selection activeCell="E11" sqref="E11"/>
    </sheetView>
  </sheetViews>
  <sheetFormatPr defaultRowHeight="15" x14ac:dyDescent="0.25"/>
  <cols>
    <col min="1" max="1" width="1.7109375" customWidth="1"/>
    <col min="2" max="2" width="23.42578125" customWidth="1"/>
    <col min="3" max="3" width="8.5703125" bestFit="1" customWidth="1"/>
    <col min="4" max="4" width="2.7109375" customWidth="1"/>
    <col min="5" max="5" width="15.28515625" customWidth="1"/>
    <col min="6" max="6" width="11.7109375" customWidth="1"/>
    <col min="7" max="7" width="1.5703125" customWidth="1"/>
    <col min="8" max="8" width="1.42578125" customWidth="1"/>
    <col min="9" max="9" width="24.140625" customWidth="1"/>
    <col min="10" max="10" width="10.5703125" customWidth="1"/>
    <col min="11" max="11" width="6.5703125" customWidth="1"/>
    <col min="12" max="12" width="11.85546875" customWidth="1"/>
    <col min="13" max="13" width="12.7109375" bestFit="1" customWidth="1"/>
    <col min="14" max="15" width="1.5703125" customWidth="1"/>
    <col min="16" max="16" width="1.42578125" customWidth="1"/>
    <col min="17" max="17" width="24.7109375" customWidth="1"/>
    <col min="18" max="18" width="8" customWidth="1"/>
    <col min="19" max="19" width="8.85546875" customWidth="1"/>
    <col min="20" max="20" width="12.7109375" customWidth="1"/>
    <col min="21" max="21" width="7.140625" customWidth="1"/>
    <col min="22" max="22" width="9.140625" customWidth="1"/>
    <col min="23" max="23" width="1.5703125" customWidth="1"/>
    <col min="24" max="24" width="1.85546875" customWidth="1"/>
    <col min="25" max="25" width="8.28515625" customWidth="1"/>
    <col min="26" max="26" width="6.42578125" customWidth="1"/>
    <col min="27" max="37" width="8.85546875" customWidth="1"/>
    <col min="38" max="38" width="34.7109375" customWidth="1"/>
    <col min="39" max="40" width="8.85546875" customWidth="1"/>
    <col min="41" max="41" width="21.5703125" customWidth="1"/>
  </cols>
  <sheetData>
    <row r="1" spans="1:26" ht="45" customHeight="1" x14ac:dyDescent="0.3">
      <c r="A1" s="56"/>
      <c r="B1" s="307" t="s">
        <v>114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56"/>
      <c r="Y1" s="262"/>
      <c r="Z1" s="262"/>
    </row>
    <row r="2" spans="1:26" ht="23.45" customHeight="1" x14ac:dyDescent="0.25">
      <c r="A2" s="56"/>
      <c r="B2" s="310" t="s">
        <v>61</v>
      </c>
      <c r="C2" s="310"/>
      <c r="D2" s="310"/>
      <c r="E2" s="310"/>
      <c r="F2" s="310"/>
      <c r="G2" s="56"/>
      <c r="H2" s="309" t="s">
        <v>60</v>
      </c>
      <c r="I2" s="309"/>
      <c r="J2" s="309"/>
      <c r="K2" s="309"/>
      <c r="L2" s="309"/>
      <c r="M2" s="309"/>
      <c r="N2" s="309"/>
      <c r="O2" s="56"/>
      <c r="P2" s="308" t="s">
        <v>62</v>
      </c>
      <c r="Q2" s="308"/>
      <c r="R2" s="308"/>
      <c r="S2" s="308"/>
      <c r="T2" s="308"/>
      <c r="U2" s="308"/>
      <c r="V2" s="308"/>
      <c r="W2" s="308"/>
      <c r="X2" s="56"/>
      <c r="Y2" s="262"/>
      <c r="Z2" s="262"/>
    </row>
    <row r="3" spans="1:26" x14ac:dyDescent="0.25">
      <c r="A3" s="56"/>
      <c r="B3" s="132" t="s">
        <v>63</v>
      </c>
      <c r="C3" s="132"/>
      <c r="D3" s="132"/>
      <c r="E3" s="133"/>
      <c r="F3" s="134"/>
      <c r="G3" s="56"/>
      <c r="H3" s="309"/>
      <c r="I3" s="309"/>
      <c r="J3" s="309"/>
      <c r="K3" s="309"/>
      <c r="L3" s="309"/>
      <c r="M3" s="309"/>
      <c r="N3" s="309"/>
      <c r="O3" s="56"/>
      <c r="P3" s="104"/>
      <c r="Q3" s="105"/>
      <c r="R3" s="105"/>
      <c r="S3" s="105"/>
      <c r="T3" s="105"/>
      <c r="U3" s="105"/>
      <c r="V3" s="105"/>
      <c r="W3" s="106"/>
      <c r="X3" s="56"/>
      <c r="Y3" s="262"/>
      <c r="Z3" s="262"/>
    </row>
    <row r="4" spans="1:26" thickBot="1" x14ac:dyDescent="0.35">
      <c r="A4" s="56"/>
      <c r="B4" s="135"/>
      <c r="C4" s="287" t="s">
        <v>14</v>
      </c>
      <c r="D4" s="287"/>
      <c r="E4" s="33">
        <v>500000</v>
      </c>
      <c r="F4" s="136" t="s">
        <v>67</v>
      </c>
      <c r="G4" s="56"/>
      <c r="H4" s="9"/>
      <c r="I4" s="9"/>
      <c r="J4" s="9"/>
      <c r="K4" s="9"/>
      <c r="L4" s="9"/>
      <c r="M4" s="10"/>
      <c r="N4" s="10"/>
      <c r="O4" s="56"/>
      <c r="P4" s="104"/>
      <c r="Q4" s="104"/>
      <c r="R4" s="104"/>
      <c r="S4" s="104"/>
      <c r="T4" s="104"/>
      <c r="U4" s="104"/>
      <c r="V4" s="104"/>
      <c r="W4" s="106"/>
      <c r="X4" s="56"/>
      <c r="Y4" s="262"/>
      <c r="Z4" s="262"/>
    </row>
    <row r="5" spans="1:26" x14ac:dyDescent="0.25">
      <c r="A5" s="56"/>
      <c r="B5" s="135"/>
      <c r="C5" s="287" t="s">
        <v>15</v>
      </c>
      <c r="D5" s="287"/>
      <c r="E5" s="33">
        <v>400000</v>
      </c>
      <c r="F5" s="136" t="s">
        <v>67</v>
      </c>
      <c r="G5" s="56"/>
      <c r="H5" s="9"/>
      <c r="I5" s="300" t="s">
        <v>75</v>
      </c>
      <c r="J5" s="301"/>
      <c r="K5" s="301"/>
      <c r="L5" s="301"/>
      <c r="M5" s="302"/>
      <c r="N5" s="10"/>
      <c r="O5" s="56"/>
      <c r="P5" s="104"/>
      <c r="Q5" s="311" t="s">
        <v>103</v>
      </c>
      <c r="R5" s="282" t="s">
        <v>106</v>
      </c>
      <c r="S5" s="282" t="s">
        <v>107</v>
      </c>
      <c r="T5" s="298" t="s">
        <v>108</v>
      </c>
      <c r="U5" s="282" t="s">
        <v>22</v>
      </c>
      <c r="V5" s="284" t="s">
        <v>23</v>
      </c>
      <c r="W5" s="106"/>
      <c r="X5" s="56"/>
      <c r="Y5" s="262"/>
      <c r="Z5" s="262"/>
    </row>
    <row r="6" spans="1:26" ht="15.75" thickBot="1" x14ac:dyDescent="0.3">
      <c r="A6" s="56"/>
      <c r="B6" s="135"/>
      <c r="C6" s="287" t="s">
        <v>64</v>
      </c>
      <c r="D6" s="287"/>
      <c r="E6" s="33">
        <v>300000</v>
      </c>
      <c r="F6" s="136" t="s">
        <v>67</v>
      </c>
      <c r="G6" s="56"/>
      <c r="H6" s="9"/>
      <c r="I6" s="151" t="s">
        <v>88</v>
      </c>
      <c r="J6" s="11"/>
      <c r="K6" s="107">
        <f>E24</f>
        <v>17</v>
      </c>
      <c r="L6" s="11" t="s">
        <v>16</v>
      </c>
      <c r="M6" s="13"/>
      <c r="N6" s="10"/>
      <c r="O6" s="56"/>
      <c r="P6" s="104"/>
      <c r="Q6" s="312"/>
      <c r="R6" s="288"/>
      <c r="S6" s="288"/>
      <c r="T6" s="299"/>
      <c r="U6" s="283"/>
      <c r="V6" s="285"/>
      <c r="W6" s="106"/>
      <c r="X6" s="56"/>
      <c r="Y6" s="262"/>
      <c r="Z6" s="262"/>
    </row>
    <row r="7" spans="1:26" thickBot="1" x14ac:dyDescent="0.35">
      <c r="A7" s="56"/>
      <c r="B7" s="135"/>
      <c r="C7" s="287" t="s">
        <v>65</v>
      </c>
      <c r="D7" s="287"/>
      <c r="E7" s="33">
        <v>300000</v>
      </c>
      <c r="F7" s="136" t="s">
        <v>67</v>
      </c>
      <c r="G7" s="56"/>
      <c r="H7" s="9"/>
      <c r="I7" s="151" t="s">
        <v>89</v>
      </c>
      <c r="J7" s="11"/>
      <c r="K7" s="11"/>
      <c r="L7" s="146">
        <f>U10+U16+U23</f>
        <v>9.8049999999999997</v>
      </c>
      <c r="M7" s="60" t="s">
        <v>16</v>
      </c>
      <c r="N7" s="10"/>
      <c r="O7" s="56"/>
      <c r="P7" s="104"/>
      <c r="Q7" s="57" t="str">
        <f>'Beban KK'!D2</f>
        <v>KK Dasar</v>
      </c>
      <c r="R7" s="62">
        <f>'Beban KK'!F14</f>
        <v>140</v>
      </c>
      <c r="S7" s="63">
        <f>'Beban KK'!G14</f>
        <v>480</v>
      </c>
      <c r="T7" s="32">
        <v>50</v>
      </c>
      <c r="U7" s="40">
        <f>R7*T7/1000</f>
        <v>7</v>
      </c>
      <c r="V7" s="43">
        <f>S7*T7/1000</f>
        <v>24</v>
      </c>
      <c r="W7" s="106"/>
      <c r="X7" s="56"/>
      <c r="Y7" s="262"/>
      <c r="Z7" s="262"/>
    </row>
    <row r="8" spans="1:26" thickBot="1" x14ac:dyDescent="0.35">
      <c r="A8" s="56"/>
      <c r="B8" s="135"/>
      <c r="C8" s="287" t="s">
        <v>66</v>
      </c>
      <c r="D8" s="287"/>
      <c r="E8" s="33">
        <v>300000</v>
      </c>
      <c r="F8" s="136" t="s">
        <v>67</v>
      </c>
      <c r="G8" s="56"/>
      <c r="H8" s="9"/>
      <c r="I8" s="151" t="s">
        <v>90</v>
      </c>
      <c r="J8" s="11"/>
      <c r="K8" s="107">
        <f>V10+V16+V23</f>
        <v>41.685000000000002</v>
      </c>
      <c r="L8" s="11" t="s">
        <v>93</v>
      </c>
      <c r="M8" s="13"/>
      <c r="N8" s="10"/>
      <c r="O8" s="56"/>
      <c r="P8" s="104"/>
      <c r="Q8" s="57" t="str">
        <f>'Beban KK'!K2</f>
        <v>KK Sedang</v>
      </c>
      <c r="R8" s="64">
        <f>'Beban KK'!M14</f>
        <v>115</v>
      </c>
      <c r="S8" s="65">
        <f>'Beban KK'!N14</f>
        <v>655</v>
      </c>
      <c r="T8" s="32">
        <v>10</v>
      </c>
      <c r="U8" s="41">
        <f>R8*T8/1000</f>
        <v>1.1499999999999999</v>
      </c>
      <c r="V8" s="44">
        <f>S8*T8/1000</f>
        <v>6.55</v>
      </c>
      <c r="W8" s="106"/>
      <c r="X8" s="56"/>
      <c r="Y8" s="262"/>
      <c r="Z8" s="262"/>
    </row>
    <row r="9" spans="1:26" ht="15.75" thickBot="1" x14ac:dyDescent="0.3">
      <c r="A9" s="56"/>
      <c r="B9" s="7"/>
      <c r="C9" s="7"/>
      <c r="D9" s="7"/>
      <c r="E9" s="8">
        <f>SUM(E4:E8)</f>
        <v>1800000</v>
      </c>
      <c r="F9" s="136" t="s">
        <v>67</v>
      </c>
      <c r="G9" s="56"/>
      <c r="H9" s="9"/>
      <c r="I9" s="151" t="s">
        <v>91</v>
      </c>
      <c r="J9" s="11"/>
      <c r="K9" s="11"/>
      <c r="L9" s="108">
        <f>E26-K8</f>
        <v>43.314999999999998</v>
      </c>
      <c r="M9" s="60" t="s">
        <v>93</v>
      </c>
      <c r="N9" s="10"/>
      <c r="O9" s="56"/>
      <c r="P9" s="104"/>
      <c r="Q9" s="57" t="str">
        <f>'Beban KK'!R2</f>
        <v>KK Tinggi</v>
      </c>
      <c r="R9" s="66">
        <f>'Beban KK'!T14</f>
        <v>475</v>
      </c>
      <c r="S9" s="67">
        <f>'Beban KK'!U14</f>
        <v>655</v>
      </c>
      <c r="T9" s="32">
        <v>1</v>
      </c>
      <c r="U9" s="42">
        <f>R9*T9/1000</f>
        <v>0.47499999999999998</v>
      </c>
      <c r="V9" s="45">
        <f>S9*T9/1000</f>
        <v>0.65500000000000003</v>
      </c>
      <c r="W9" s="106"/>
      <c r="X9" s="56"/>
      <c r="Y9" s="262"/>
      <c r="Z9" s="262"/>
    </row>
    <row r="10" spans="1:26" ht="15.75" thickBot="1" x14ac:dyDescent="0.3">
      <c r="A10" s="56"/>
      <c r="B10" s="304" t="s">
        <v>69</v>
      </c>
      <c r="C10" s="304"/>
      <c r="D10" s="304"/>
      <c r="E10" s="33">
        <v>100000</v>
      </c>
      <c r="F10" s="136" t="s">
        <v>67</v>
      </c>
      <c r="G10" s="56"/>
      <c r="H10" s="9"/>
      <c r="I10" s="289" t="s">
        <v>92</v>
      </c>
      <c r="J10" s="290"/>
      <c r="K10" s="290"/>
      <c r="L10" s="290"/>
      <c r="M10" s="291"/>
      <c r="N10" s="10"/>
      <c r="O10" s="56"/>
      <c r="P10" s="104"/>
      <c r="Q10" s="292" t="s">
        <v>111</v>
      </c>
      <c r="R10" s="293"/>
      <c r="S10" s="293"/>
      <c r="T10" s="293"/>
      <c r="U10" s="18">
        <f>SUM(U7:U9)</f>
        <v>8.625</v>
      </c>
      <c r="V10" s="19">
        <f>SUM(V7:V9)</f>
        <v>31.205000000000002</v>
      </c>
      <c r="W10" s="106"/>
      <c r="X10" s="56"/>
      <c r="Y10" s="262"/>
      <c r="Z10" s="262"/>
    </row>
    <row r="11" spans="1:26" ht="15.75" thickBot="1" x14ac:dyDescent="0.3">
      <c r="A11" s="56"/>
      <c r="B11" s="304" t="s">
        <v>70</v>
      </c>
      <c r="C11" s="304"/>
      <c r="D11" s="304"/>
      <c r="E11" s="33">
        <v>100000</v>
      </c>
      <c r="F11" s="136" t="s">
        <v>67</v>
      </c>
      <c r="G11" s="56"/>
      <c r="H11" s="9"/>
      <c r="I11" s="10"/>
      <c r="J11" s="10"/>
      <c r="K11" s="10"/>
      <c r="L11" s="10"/>
      <c r="M11" s="10"/>
      <c r="N11" s="10"/>
      <c r="O11" s="56"/>
      <c r="P11" s="104"/>
      <c r="Q11" s="104"/>
      <c r="R11" s="104"/>
      <c r="S11" s="104"/>
      <c r="T11" s="104"/>
      <c r="U11" s="104"/>
      <c r="V11" s="104"/>
      <c r="W11" s="104"/>
      <c r="X11" s="56"/>
      <c r="Y11" s="262"/>
      <c r="Z11" s="262"/>
    </row>
    <row r="12" spans="1:26" ht="26.25" thickBot="1" x14ac:dyDescent="0.3">
      <c r="A12" s="56"/>
      <c r="B12" s="304" t="s">
        <v>71</v>
      </c>
      <c r="C12" s="304"/>
      <c r="D12" s="304"/>
      <c r="E12" s="33">
        <v>200000</v>
      </c>
      <c r="F12" s="136" t="s">
        <v>67</v>
      </c>
      <c r="G12" s="56"/>
      <c r="H12" s="14"/>
      <c r="I12" s="300" t="s">
        <v>76</v>
      </c>
      <c r="J12" s="301"/>
      <c r="K12" s="301"/>
      <c r="L12" s="301"/>
      <c r="M12" s="302"/>
      <c r="N12" s="10"/>
      <c r="O12" s="56"/>
      <c r="P12" s="104"/>
      <c r="Q12" s="153" t="s">
        <v>104</v>
      </c>
      <c r="R12" s="20" t="s">
        <v>109</v>
      </c>
      <c r="S12" s="20" t="s">
        <v>110</v>
      </c>
      <c r="T12" s="21" t="s">
        <v>108</v>
      </c>
      <c r="U12" s="20" t="s">
        <v>22</v>
      </c>
      <c r="V12" s="22" t="s">
        <v>23</v>
      </c>
      <c r="W12" s="106"/>
      <c r="X12" s="56"/>
      <c r="Y12" s="262"/>
      <c r="Z12" s="262"/>
    </row>
    <row r="13" spans="1:26" x14ac:dyDescent="0.25">
      <c r="A13" s="56"/>
      <c r="B13" s="143"/>
      <c r="C13" s="143"/>
      <c r="D13" s="143"/>
      <c r="E13" s="143"/>
      <c r="F13" s="143"/>
      <c r="G13" s="56"/>
      <c r="H13" s="14"/>
      <c r="I13" s="314" t="s">
        <v>98</v>
      </c>
      <c r="J13" s="315"/>
      <c r="K13" s="12"/>
      <c r="L13" s="15">
        <f>E14/(E29-K15)</f>
        <v>36065.573770491806</v>
      </c>
      <c r="M13" s="13" t="s">
        <v>67</v>
      </c>
      <c r="N13" s="10"/>
      <c r="O13" s="56"/>
      <c r="P13" s="104"/>
      <c r="Q13" s="58" t="str">
        <f>'Beban IS'!E2</f>
        <v>Sekolah</v>
      </c>
      <c r="R13" s="68">
        <f>'Beban IS'!F14</f>
        <v>120</v>
      </c>
      <c r="S13" s="69">
        <f>'Beban IS'!G14</f>
        <v>960</v>
      </c>
      <c r="T13" s="32">
        <v>1</v>
      </c>
      <c r="U13" s="34">
        <f>R13*T13/1000</f>
        <v>0.12</v>
      </c>
      <c r="V13" s="46">
        <f>S13*T13/1000</f>
        <v>0.96</v>
      </c>
      <c r="W13" s="106"/>
      <c r="X13" s="56"/>
      <c r="Y13" s="262"/>
      <c r="Z13" s="262"/>
    </row>
    <row r="14" spans="1:26" ht="15.75" thickBot="1" x14ac:dyDescent="0.3">
      <c r="A14" s="56"/>
      <c r="B14" s="304" t="s">
        <v>72</v>
      </c>
      <c r="C14" s="304"/>
      <c r="D14" s="132"/>
      <c r="E14" s="144">
        <f>E9+E10+E11+E12</f>
        <v>2200000</v>
      </c>
      <c r="F14" s="137" t="s">
        <v>67</v>
      </c>
      <c r="G14" s="56"/>
      <c r="H14" s="14"/>
      <c r="I14" s="314" t="s">
        <v>94</v>
      </c>
      <c r="J14" s="322"/>
      <c r="K14" s="154">
        <v>0.05</v>
      </c>
      <c r="L14" s="15">
        <f>L13*K14</f>
        <v>1803.2786885245905</v>
      </c>
      <c r="M14" s="13" t="s">
        <v>67</v>
      </c>
      <c r="N14" s="10"/>
      <c r="O14" s="56"/>
      <c r="P14" s="104"/>
      <c r="Q14" s="58" t="str">
        <f>'Beban IS'!L2</f>
        <v>Lampu jalan</v>
      </c>
      <c r="R14" s="70">
        <f>'Beban IS'!M14</f>
        <v>10</v>
      </c>
      <c r="S14" s="71">
        <f>'Beban IS'!N14</f>
        <v>80</v>
      </c>
      <c r="T14" s="32">
        <v>50</v>
      </c>
      <c r="U14" s="35">
        <f>R14*T14/1000</f>
        <v>0.5</v>
      </c>
      <c r="V14" s="47">
        <f>S14*T14/1000</f>
        <v>4</v>
      </c>
      <c r="W14" s="106"/>
      <c r="X14" s="56"/>
      <c r="Y14" s="262"/>
      <c r="Z14" s="262"/>
    </row>
    <row r="15" spans="1:26" ht="15.75" customHeight="1" thickTop="1" thickBot="1" x14ac:dyDescent="0.3">
      <c r="A15" s="56"/>
      <c r="B15" s="132"/>
      <c r="C15" s="132"/>
      <c r="D15" s="132"/>
      <c r="E15" s="8"/>
      <c r="F15" s="138"/>
      <c r="G15" s="56"/>
      <c r="H15" s="14"/>
      <c r="I15" s="314" t="s">
        <v>95</v>
      </c>
      <c r="J15" s="322"/>
      <c r="K15" s="113">
        <v>0</v>
      </c>
      <c r="L15" s="12" t="s">
        <v>86</v>
      </c>
      <c r="M15" s="13"/>
      <c r="N15" s="10"/>
      <c r="O15" s="56"/>
      <c r="P15" s="104"/>
      <c r="Q15" s="58" t="str">
        <f>'Beban IS'!S2</f>
        <v>Tipe 3</v>
      </c>
      <c r="R15" s="72">
        <f>'Beban IS'!T14</f>
        <v>0</v>
      </c>
      <c r="S15" s="73">
        <f>'Beban IS'!U14</f>
        <v>0</v>
      </c>
      <c r="T15" s="32">
        <v>0</v>
      </c>
      <c r="U15" s="36">
        <f>R15*T15/1000</f>
        <v>0</v>
      </c>
      <c r="V15" s="48">
        <f>S15*T15/1000</f>
        <v>0</v>
      </c>
      <c r="W15" s="106"/>
      <c r="X15" s="56"/>
      <c r="Y15" s="262"/>
      <c r="Z15" s="262"/>
    </row>
    <row r="16" spans="1:26" ht="15.75" thickBot="1" x14ac:dyDescent="0.3">
      <c r="A16" s="56"/>
      <c r="B16" s="132" t="s">
        <v>73</v>
      </c>
      <c r="C16" s="132"/>
      <c r="D16" s="132"/>
      <c r="E16" s="145">
        <f>SUM(U26:U31)</f>
        <v>2897361.680327869</v>
      </c>
      <c r="F16" s="137" t="s">
        <v>67</v>
      </c>
      <c r="G16" s="56"/>
      <c r="H16" s="14"/>
      <c r="I16" s="323" t="str">
        <f>IF(T7=0,"",'Beban KK'!D2)</f>
        <v>KK Dasar</v>
      </c>
      <c r="J16" s="324"/>
      <c r="K16" s="114"/>
      <c r="L16" s="115">
        <f>L13+L14</f>
        <v>37868.852459016394</v>
      </c>
      <c r="M16" s="116" t="s">
        <v>67</v>
      </c>
      <c r="N16" s="10"/>
      <c r="O16" s="56"/>
      <c r="P16" s="104"/>
      <c r="Q16" s="294" t="s">
        <v>112</v>
      </c>
      <c r="R16" s="295"/>
      <c r="S16" s="295"/>
      <c r="T16" s="295"/>
      <c r="U16" s="23">
        <f>SUM(U13:U15)</f>
        <v>0.62</v>
      </c>
      <c r="V16" s="49">
        <f>SUM(V13:V15)</f>
        <v>4.96</v>
      </c>
      <c r="W16" s="106"/>
      <c r="X16" s="56"/>
      <c r="Y16" s="262"/>
      <c r="Z16" s="262"/>
    </row>
    <row r="17" spans="1:26" ht="15.6" thickTop="1" thickBot="1" x14ac:dyDescent="0.35">
      <c r="A17" s="56"/>
      <c r="B17" s="132"/>
      <c r="C17" s="132"/>
      <c r="D17" s="132"/>
      <c r="E17" s="139"/>
      <c r="F17" s="138"/>
      <c r="G17" s="56"/>
      <c r="H17" s="14"/>
      <c r="I17" s="316" t="str">
        <f>IF(T8=0,"",'Beban KK'!K2)</f>
        <v>KK Sedang</v>
      </c>
      <c r="J17" s="317"/>
      <c r="K17" s="12"/>
      <c r="L17" s="15">
        <f>IF(T8=0,"",(S8/S7)*L16)</f>
        <v>51675.204918032789</v>
      </c>
      <c r="M17" s="13" t="s">
        <v>67</v>
      </c>
      <c r="N17" s="10"/>
      <c r="O17" s="56"/>
      <c r="P17" s="104"/>
      <c r="Q17" s="104"/>
      <c r="R17" s="104"/>
      <c r="S17" s="104"/>
      <c r="T17" s="104"/>
      <c r="U17" s="104"/>
      <c r="V17" s="104"/>
      <c r="W17" s="104"/>
      <c r="X17" s="56"/>
      <c r="Y17" s="262"/>
      <c r="Z17" s="262"/>
    </row>
    <row r="18" spans="1:26" ht="26.25" thickBot="1" x14ac:dyDescent="0.3">
      <c r="A18" s="56"/>
      <c r="B18" s="305" t="s">
        <v>74</v>
      </c>
      <c r="C18" s="305"/>
      <c r="D18" s="305"/>
      <c r="E18" s="140">
        <f>E16-E14</f>
        <v>697361.68032786902</v>
      </c>
      <c r="F18" s="137" t="s">
        <v>67</v>
      </c>
      <c r="G18" s="56"/>
      <c r="H18" s="14"/>
      <c r="I18" s="316" t="str">
        <f>IF(T9=0,"",'Beban KK'!R2)</f>
        <v>KK Tinggi</v>
      </c>
      <c r="J18" s="317"/>
      <c r="K18" s="12"/>
      <c r="L18" s="15">
        <f>IF(T9=0,"",(S9/S7)*L16)</f>
        <v>51675.204918032789</v>
      </c>
      <c r="M18" s="13" t="s">
        <v>67</v>
      </c>
      <c r="N18" s="10"/>
      <c r="O18" s="56"/>
      <c r="P18" s="104"/>
      <c r="Q18" s="152" t="s">
        <v>105</v>
      </c>
      <c r="R18" s="24" t="s">
        <v>24</v>
      </c>
      <c r="S18" s="24" t="s">
        <v>25</v>
      </c>
      <c r="T18" s="25" t="s">
        <v>108</v>
      </c>
      <c r="U18" s="24" t="s">
        <v>22</v>
      </c>
      <c r="V18" s="26" t="s">
        <v>23</v>
      </c>
      <c r="W18" s="106"/>
      <c r="X18" s="56"/>
      <c r="Y18" s="262"/>
      <c r="Z18" s="262"/>
    </row>
    <row r="19" spans="1:26" x14ac:dyDescent="0.25">
      <c r="A19" s="56"/>
      <c r="B19" s="305"/>
      <c r="C19" s="305"/>
      <c r="D19" s="305"/>
      <c r="E19" s="140">
        <f>E18*12</f>
        <v>8368340.1639344282</v>
      </c>
      <c r="F19" s="138" t="s">
        <v>68</v>
      </c>
      <c r="G19" s="56"/>
      <c r="H19" s="10"/>
      <c r="I19" s="318" t="str">
        <f>IF(T19=0,"",'Beban PUE'!D2)</f>
        <v>Penjahit</v>
      </c>
      <c r="J19" s="319"/>
      <c r="K19" s="117"/>
      <c r="L19" s="115">
        <f>IF(T19=0,"",(S19/S7)*L16)</f>
        <v>56803.278688524588</v>
      </c>
      <c r="M19" s="116" t="s">
        <v>67</v>
      </c>
      <c r="N19" s="10"/>
      <c r="O19" s="56"/>
      <c r="P19" s="104"/>
      <c r="Q19" s="59" t="str">
        <f>'Beban PUE'!D2</f>
        <v>Penjahit</v>
      </c>
      <c r="R19" s="74">
        <f>'Beban PUE'!F14</f>
        <v>360</v>
      </c>
      <c r="S19" s="75">
        <f>'Beban PUE'!G14</f>
        <v>720</v>
      </c>
      <c r="T19" s="32">
        <v>1</v>
      </c>
      <c r="U19" s="37">
        <f>R19*T19/1000</f>
        <v>0.36</v>
      </c>
      <c r="V19" s="50">
        <f>S19*T19/1000</f>
        <v>0.72</v>
      </c>
      <c r="W19" s="106"/>
      <c r="X19" s="56"/>
      <c r="Y19" s="262"/>
      <c r="Z19" s="262"/>
    </row>
    <row r="20" spans="1:26" ht="14.45" x14ac:dyDescent="0.3">
      <c r="A20" s="56"/>
      <c r="B20" s="56"/>
      <c r="C20" s="56"/>
      <c r="D20" s="56"/>
      <c r="E20" s="56"/>
      <c r="F20" s="56"/>
      <c r="G20" s="56"/>
      <c r="H20" s="10"/>
      <c r="I20" s="314" t="str">
        <f>IF(T20=0,"",'Beban PUE'!K2)</f>
        <v>Penetasan telur</v>
      </c>
      <c r="J20" s="315"/>
      <c r="K20" s="16"/>
      <c r="L20" s="15">
        <f>IF(T20=0,"",(S20/S7)*L16)</f>
        <v>378688.52459016396</v>
      </c>
      <c r="M20" s="13" t="s">
        <v>67</v>
      </c>
      <c r="N20" s="10"/>
      <c r="O20" s="56"/>
      <c r="P20" s="104"/>
      <c r="Q20" s="59" t="str">
        <f>'Beban PUE'!K2</f>
        <v>Penetasan telur</v>
      </c>
      <c r="R20" s="76">
        <f>'Beban PUE'!M14</f>
        <v>200</v>
      </c>
      <c r="S20" s="77">
        <f>'Beban PUE'!N14</f>
        <v>4800</v>
      </c>
      <c r="T20" s="32">
        <v>1</v>
      </c>
      <c r="U20" s="38">
        <f>R20*T20/1000</f>
        <v>0.2</v>
      </c>
      <c r="V20" s="51">
        <f>S20*T20/1000</f>
        <v>4.8</v>
      </c>
      <c r="W20" s="106"/>
      <c r="X20" s="56"/>
      <c r="Y20" s="262"/>
      <c r="Z20" s="262"/>
    </row>
    <row r="21" spans="1:26" ht="14.45" x14ac:dyDescent="0.3">
      <c r="A21" s="56"/>
      <c r="B21" s="306" t="s">
        <v>75</v>
      </c>
      <c r="C21" s="306"/>
      <c r="D21" s="306"/>
      <c r="E21" s="306"/>
      <c r="F21" s="306"/>
      <c r="G21" s="56"/>
      <c r="H21" s="10"/>
      <c r="I21" s="314" t="str">
        <f>IF(T21=0,"",'Beban PUE'!D16)</f>
        <v/>
      </c>
      <c r="J21" s="315"/>
      <c r="K21" s="16"/>
      <c r="L21" s="15" t="str">
        <f>IF(S21=0,"",(S21/S7)*L16)</f>
        <v/>
      </c>
      <c r="M21" s="13" t="s">
        <v>67</v>
      </c>
      <c r="N21" s="10"/>
      <c r="O21" s="56"/>
      <c r="P21" s="104"/>
      <c r="Q21" s="59" t="str">
        <f>'Beban PUE'!D16</f>
        <v>Tipe 3</v>
      </c>
      <c r="R21" s="76">
        <f>'Beban PUE'!F28</f>
        <v>0</v>
      </c>
      <c r="S21" s="77">
        <f>'Beban PUE'!G28</f>
        <v>0</v>
      </c>
      <c r="T21" s="32">
        <v>0</v>
      </c>
      <c r="U21" s="38">
        <f>R21*T21/1000</f>
        <v>0</v>
      </c>
      <c r="V21" s="51">
        <f>S21*T21/1000</f>
        <v>0</v>
      </c>
      <c r="W21" s="106"/>
      <c r="X21" s="56"/>
      <c r="Y21" s="262"/>
      <c r="Z21" s="262"/>
    </row>
    <row r="22" spans="1:26" thickBot="1" x14ac:dyDescent="0.35">
      <c r="A22" s="56"/>
      <c r="B22" s="286" t="s">
        <v>78</v>
      </c>
      <c r="C22" s="286"/>
      <c r="D22" s="286"/>
      <c r="E22" s="111">
        <v>20</v>
      </c>
      <c r="F22" s="127" t="s">
        <v>16</v>
      </c>
      <c r="G22" s="56"/>
      <c r="H22" s="10"/>
      <c r="I22" s="320" t="str">
        <f>IF(T22=0,"",'Beban PUE'!K16)</f>
        <v/>
      </c>
      <c r="J22" s="321"/>
      <c r="K22" s="17"/>
      <c r="L22" s="61" t="str">
        <f>IF(S22=0,"",(S22/S7)*L16)</f>
        <v/>
      </c>
      <c r="M22" s="112" t="s">
        <v>67</v>
      </c>
      <c r="N22" s="10"/>
      <c r="O22" s="56"/>
      <c r="P22" s="104"/>
      <c r="Q22" s="59" t="str">
        <f>'Beban PUE'!K16</f>
        <v>Tipe 4</v>
      </c>
      <c r="R22" s="78">
        <f>'Beban PUE'!M28</f>
        <v>0</v>
      </c>
      <c r="S22" s="79">
        <f>'Beban PUE'!N28</f>
        <v>0</v>
      </c>
      <c r="T22" s="32">
        <v>0</v>
      </c>
      <c r="U22" s="39">
        <f>R22*T22/1000</f>
        <v>0</v>
      </c>
      <c r="V22" s="52">
        <f>S22*T22/1000</f>
        <v>0</v>
      </c>
      <c r="W22" s="106"/>
      <c r="X22" s="56"/>
      <c r="Y22" s="262"/>
      <c r="Z22" s="262"/>
    </row>
    <row r="23" spans="1:26" thickBot="1" x14ac:dyDescent="0.35">
      <c r="A23" s="56"/>
      <c r="B23" s="286" t="s">
        <v>79</v>
      </c>
      <c r="C23" s="286"/>
      <c r="D23" s="286"/>
      <c r="E23" s="55">
        <v>0.85</v>
      </c>
      <c r="F23" s="127" t="s">
        <v>17</v>
      </c>
      <c r="G23" s="56"/>
      <c r="H23" s="10"/>
      <c r="I23" s="10"/>
      <c r="J23" s="10"/>
      <c r="K23" s="10"/>
      <c r="L23" s="10"/>
      <c r="M23" s="10"/>
      <c r="N23" s="10"/>
      <c r="O23" s="56"/>
      <c r="P23" s="104"/>
      <c r="Q23" s="296" t="s">
        <v>113</v>
      </c>
      <c r="R23" s="297"/>
      <c r="S23" s="297"/>
      <c r="T23" s="297"/>
      <c r="U23" s="27">
        <f>SUM(U19:U22)</f>
        <v>0.56000000000000005</v>
      </c>
      <c r="V23" s="28">
        <f>SUM(V19:V22)</f>
        <v>5.52</v>
      </c>
      <c r="W23" s="106"/>
      <c r="X23" s="56"/>
      <c r="Y23" s="262"/>
      <c r="Z23" s="262"/>
    </row>
    <row r="24" spans="1:26" x14ac:dyDescent="0.25">
      <c r="A24" s="56"/>
      <c r="B24" s="286" t="s">
        <v>80</v>
      </c>
      <c r="C24" s="286"/>
      <c r="D24" s="286"/>
      <c r="E24" s="102">
        <f>E22*E23</f>
        <v>17</v>
      </c>
      <c r="F24" s="128" t="s">
        <v>16</v>
      </c>
      <c r="G24" s="56"/>
      <c r="H24" s="10"/>
      <c r="I24" s="300" t="s">
        <v>77</v>
      </c>
      <c r="J24" s="301"/>
      <c r="K24" s="301"/>
      <c r="L24" s="301"/>
      <c r="M24" s="302"/>
      <c r="N24" s="10"/>
      <c r="O24" s="56"/>
      <c r="P24" s="104"/>
      <c r="Q24" s="104"/>
      <c r="R24" s="104"/>
      <c r="S24" s="104"/>
      <c r="T24" s="104"/>
      <c r="U24" s="104"/>
      <c r="V24" s="104"/>
      <c r="W24" s="104"/>
      <c r="X24" s="56"/>
      <c r="Y24" s="262"/>
      <c r="Z24" s="262"/>
    </row>
    <row r="25" spans="1:26" x14ac:dyDescent="0.25">
      <c r="A25" s="56"/>
      <c r="B25" s="286" t="s">
        <v>81</v>
      </c>
      <c r="C25" s="286"/>
      <c r="D25" s="286"/>
      <c r="E25" s="150">
        <f>'Parameter Teknis SMG'!D21</f>
        <v>5</v>
      </c>
      <c r="F25" s="128" t="s">
        <v>87</v>
      </c>
      <c r="G25" s="56"/>
      <c r="H25" s="10"/>
      <c r="I25" s="265" t="s">
        <v>99</v>
      </c>
      <c r="J25" s="266"/>
      <c r="K25" s="365"/>
      <c r="L25" s="126">
        <f>'Parameter Teknis SMG'!K13</f>
        <v>100</v>
      </c>
      <c r="M25" s="125" t="s">
        <v>96</v>
      </c>
      <c r="N25" s="10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262"/>
      <c r="Z25" s="262"/>
    </row>
    <row r="26" spans="1:26" x14ac:dyDescent="0.25">
      <c r="A26" s="56"/>
      <c r="B26" s="286" t="s">
        <v>82</v>
      </c>
      <c r="C26" s="286"/>
      <c r="D26" s="286"/>
      <c r="E26" s="102">
        <f>E24*E25</f>
        <v>85</v>
      </c>
      <c r="F26" s="128" t="s">
        <v>18</v>
      </c>
      <c r="G26" s="56"/>
      <c r="H26" s="10"/>
      <c r="I26" s="314" t="s">
        <v>100</v>
      </c>
      <c r="J26" s="315"/>
      <c r="K26" s="124"/>
      <c r="L26" s="126">
        <f>'Parameter Teknis SMG'!K15</f>
        <v>145</v>
      </c>
      <c r="M26" s="125" t="s">
        <v>97</v>
      </c>
      <c r="N26" s="10"/>
      <c r="O26" s="56"/>
      <c r="P26" s="56"/>
      <c r="Q26" s="56"/>
      <c r="R26" s="56"/>
      <c r="S26" s="281" t="str">
        <f>Q7</f>
        <v>KK Dasar</v>
      </c>
      <c r="T26" s="281"/>
      <c r="U26" s="280">
        <f>IF(T7=0,"",T7*L16)</f>
        <v>1893442.6229508198</v>
      </c>
      <c r="V26" s="280"/>
      <c r="W26" s="280"/>
      <c r="X26" s="56"/>
      <c r="Y26" s="262"/>
      <c r="Z26" s="262"/>
    </row>
    <row r="27" spans="1:26" ht="15.6" x14ac:dyDescent="0.3">
      <c r="A27" s="56"/>
      <c r="B27" s="286" t="s">
        <v>83</v>
      </c>
      <c r="C27" s="286"/>
      <c r="D27" s="286"/>
      <c r="E27" s="102">
        <f>K8</f>
        <v>41.685000000000002</v>
      </c>
      <c r="F27" s="128" t="s">
        <v>18</v>
      </c>
      <c r="G27" s="56"/>
      <c r="H27" s="10"/>
      <c r="I27" s="314" t="s">
        <v>101</v>
      </c>
      <c r="J27" s="315"/>
      <c r="K27" s="122"/>
      <c r="L27" s="121">
        <f>'Parameter Teknis SMG'!L19</f>
        <v>572.5</v>
      </c>
      <c r="M27" s="123" t="s">
        <v>53</v>
      </c>
      <c r="N27" s="10"/>
      <c r="O27" s="56"/>
      <c r="P27" s="56"/>
      <c r="Q27" s="56"/>
      <c r="R27" s="56"/>
      <c r="S27" s="281" t="str">
        <f>Q8</f>
        <v>KK Sedang</v>
      </c>
      <c r="T27" s="281"/>
      <c r="U27" s="280">
        <f>IF(T8=0,"",T8*L17)</f>
        <v>516752.04918032791</v>
      </c>
      <c r="V27" s="280"/>
      <c r="W27" s="280"/>
      <c r="X27" s="56"/>
      <c r="Y27" s="262"/>
      <c r="Z27" s="262"/>
    </row>
    <row r="28" spans="1:26" ht="15.75" thickBot="1" x14ac:dyDescent="0.3">
      <c r="A28" s="56"/>
      <c r="B28" s="303" t="s">
        <v>84</v>
      </c>
      <c r="C28" s="303"/>
      <c r="D28" s="303"/>
      <c r="E28" s="103">
        <f>E26-E27</f>
        <v>43.314999999999998</v>
      </c>
      <c r="F28" s="129" t="s">
        <v>18</v>
      </c>
      <c r="G28" s="56"/>
      <c r="H28" s="10"/>
      <c r="I28" s="320" t="s">
        <v>102</v>
      </c>
      <c r="J28" s="321"/>
      <c r="K28" s="313">
        <f>'Parameter Teknis SMG'!G14</f>
        <v>3007000000</v>
      </c>
      <c r="L28" s="313"/>
      <c r="M28" s="112" t="s">
        <v>49</v>
      </c>
      <c r="N28" s="10"/>
      <c r="O28" s="56"/>
      <c r="P28" s="56"/>
      <c r="Q28" s="56"/>
      <c r="R28" s="56"/>
      <c r="S28" s="281" t="str">
        <f>Q9</f>
        <v>KK Tinggi</v>
      </c>
      <c r="T28" s="281"/>
      <c r="U28" s="280">
        <f>IF(T9=0,"",T9*L18)</f>
        <v>51675.204918032789</v>
      </c>
      <c r="V28" s="280"/>
      <c r="W28" s="280"/>
      <c r="X28" s="56"/>
      <c r="Y28" s="262"/>
      <c r="Z28" s="262"/>
    </row>
    <row r="29" spans="1:26" ht="14.45" x14ac:dyDescent="0.3">
      <c r="A29" s="56"/>
      <c r="B29" s="286" t="s">
        <v>85</v>
      </c>
      <c r="C29" s="286"/>
      <c r="D29" s="286"/>
      <c r="E29" s="130">
        <f>SUM(T7:T9)</f>
        <v>61</v>
      </c>
      <c r="F29" s="131" t="s">
        <v>86</v>
      </c>
      <c r="G29" s="56"/>
      <c r="H29" s="10"/>
      <c r="I29" s="10"/>
      <c r="J29" s="10"/>
      <c r="K29" s="10"/>
      <c r="L29" s="10"/>
      <c r="M29" s="10"/>
      <c r="N29" s="10"/>
      <c r="O29" s="56"/>
      <c r="P29" s="56"/>
      <c r="Q29" s="56"/>
      <c r="R29" s="56"/>
      <c r="S29" s="281" t="str">
        <f>Q19</f>
        <v>Penjahit</v>
      </c>
      <c r="T29" s="281"/>
      <c r="U29" s="280">
        <f>IF(T19=0,"",T19*L19)</f>
        <v>56803.278688524588</v>
      </c>
      <c r="V29" s="280"/>
      <c r="W29" s="280"/>
      <c r="X29" s="56"/>
      <c r="Y29" s="262"/>
      <c r="Z29" s="262"/>
    </row>
    <row r="30" spans="1:26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281" t="str">
        <f>Q20</f>
        <v>Penetasan telur</v>
      </c>
      <c r="T30" s="281"/>
      <c r="U30" s="280">
        <f>IF(T20=0,"",T20*L20)</f>
        <v>378688.52459016396</v>
      </c>
      <c r="V30" s="280"/>
      <c r="W30" s="280"/>
      <c r="X30" s="56"/>
      <c r="Y30" s="262"/>
      <c r="Z30" s="262"/>
    </row>
    <row r="31" spans="1:26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281" t="str">
        <f>Q22</f>
        <v>Tipe 4</v>
      </c>
      <c r="T31" s="281"/>
      <c r="U31" s="280" t="str">
        <f>IF(T22=0,"",T22*L22)</f>
        <v/>
      </c>
      <c r="V31" s="280"/>
      <c r="W31" s="280"/>
      <c r="X31" s="56"/>
      <c r="Y31" s="262"/>
      <c r="Z31" s="262"/>
    </row>
    <row r="35" spans="9:9" x14ac:dyDescent="0.25">
      <c r="I35" s="141"/>
    </row>
    <row r="36" spans="9:9" x14ac:dyDescent="0.25">
      <c r="I36" s="141"/>
    </row>
    <row r="37" spans="9:9" x14ac:dyDescent="0.25">
      <c r="I37" s="141"/>
    </row>
    <row r="42" spans="9:9" x14ac:dyDescent="0.25">
      <c r="I42" s="142"/>
    </row>
  </sheetData>
  <sheetProtection sheet="1" objects="1" scenarios="1" selectLockedCells="1"/>
  <mergeCells count="62">
    <mergeCell ref="Q5:Q6"/>
    <mergeCell ref="K28:L28"/>
    <mergeCell ref="I26:J26"/>
    <mergeCell ref="I18:J18"/>
    <mergeCell ref="I19:J19"/>
    <mergeCell ref="I20:J20"/>
    <mergeCell ref="I21:J21"/>
    <mergeCell ref="I22:J22"/>
    <mergeCell ref="I28:J28"/>
    <mergeCell ref="I27:J27"/>
    <mergeCell ref="I13:J13"/>
    <mergeCell ref="I14:J14"/>
    <mergeCell ref="I15:J15"/>
    <mergeCell ref="I16:J16"/>
    <mergeCell ref="I17:J17"/>
    <mergeCell ref="B1:W1"/>
    <mergeCell ref="P2:W2"/>
    <mergeCell ref="H2:N3"/>
    <mergeCell ref="B2:F2"/>
    <mergeCell ref="C4:D4"/>
    <mergeCell ref="C7:D7"/>
    <mergeCell ref="B29:D29"/>
    <mergeCell ref="B24:D24"/>
    <mergeCell ref="B27:D27"/>
    <mergeCell ref="B28:D28"/>
    <mergeCell ref="B25:D25"/>
    <mergeCell ref="B10:D10"/>
    <mergeCell ref="B11:D11"/>
    <mergeCell ref="B12:D12"/>
    <mergeCell ref="B18:D19"/>
    <mergeCell ref="B21:F21"/>
    <mergeCell ref="B22:D22"/>
    <mergeCell ref="B23:D23"/>
    <mergeCell ref="B14:C14"/>
    <mergeCell ref="U5:U6"/>
    <mergeCell ref="V5:V6"/>
    <mergeCell ref="B26:D26"/>
    <mergeCell ref="C8:D8"/>
    <mergeCell ref="R5:R6"/>
    <mergeCell ref="S5:S6"/>
    <mergeCell ref="I10:M10"/>
    <mergeCell ref="Q10:T10"/>
    <mergeCell ref="Q16:T16"/>
    <mergeCell ref="Q23:T23"/>
    <mergeCell ref="T5:T6"/>
    <mergeCell ref="I5:M5"/>
    <mergeCell ref="I12:M12"/>
    <mergeCell ref="I24:M24"/>
    <mergeCell ref="C5:D5"/>
    <mergeCell ref="C6:D6"/>
    <mergeCell ref="U31:W31"/>
    <mergeCell ref="S26:T26"/>
    <mergeCell ref="S27:T27"/>
    <mergeCell ref="S28:T28"/>
    <mergeCell ref="S29:T29"/>
    <mergeCell ref="S30:T30"/>
    <mergeCell ref="S31:T31"/>
    <mergeCell ref="U29:W29"/>
    <mergeCell ref="U30:W30"/>
    <mergeCell ref="U26:W26"/>
    <mergeCell ref="U27:W27"/>
    <mergeCell ref="U28:W28"/>
  </mergeCells>
  <conditionalFormatting sqref="L7">
    <cfRule type="cellIs" dxfId="3" priority="3" operator="greaterThan">
      <formula>$K$6</formula>
    </cfRule>
  </conditionalFormatting>
  <conditionalFormatting sqref="E19">
    <cfRule type="cellIs" dxfId="2" priority="2" operator="lessThan">
      <formula>0.01</formula>
    </cfRule>
  </conditionalFormatting>
  <conditionalFormatting sqref="E18">
    <cfRule type="cellIs" dxfId="1" priority="1" operator="lessThan">
      <formula>0.01</formula>
    </cfRule>
  </conditionalFormatting>
  <pageMargins left="0.25" right="0.25" top="0.75" bottom="0.75" header="0.3" footer="0.3"/>
  <pageSetup paperSize="9" scale="63" orientation="landscape" r:id="rId1"/>
  <ignoredErrors>
    <ignoredError sqref="E25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V29"/>
  <sheetViews>
    <sheetView showZeros="0" view="pageBreakPreview" zoomScale="70" zoomScaleNormal="90" zoomScaleSheetLayoutView="70" zoomScalePageLayoutView="90" workbookViewId="0">
      <selection activeCell="K9" sqref="K9"/>
    </sheetView>
  </sheetViews>
  <sheetFormatPr defaultColWidth="9.140625" defaultRowHeight="15" x14ac:dyDescent="0.25"/>
  <cols>
    <col min="1" max="1" width="1.85546875" style="223" customWidth="1"/>
    <col min="2" max="2" width="21.28515625" style="223" customWidth="1"/>
    <col min="3" max="3" width="10.28515625" style="223" customWidth="1"/>
    <col min="4" max="4" width="5.7109375" style="223" customWidth="1"/>
    <col min="5" max="5" width="8.85546875" style="223" customWidth="1"/>
    <col min="6" max="6" width="7.28515625" style="223" bestFit="1" customWidth="1"/>
    <col min="7" max="7" width="6.7109375" style="223" customWidth="1"/>
    <col min="8" max="8" width="1.28515625" style="223" customWidth="1"/>
    <col min="9" max="9" width="21.85546875" style="223" customWidth="1"/>
    <col min="10" max="10" width="9.28515625" style="223" customWidth="1"/>
    <col min="11" max="11" width="6.28515625" style="223" customWidth="1"/>
    <col min="12" max="12" width="8.85546875" style="223" bestFit="1" customWidth="1"/>
    <col min="13" max="13" width="7.28515625" style="223" bestFit="1" customWidth="1"/>
    <col min="14" max="14" width="7.7109375" style="223" customWidth="1"/>
    <col min="15" max="15" width="1.42578125" style="223" customWidth="1"/>
    <col min="16" max="16" width="21.28515625" style="223" customWidth="1"/>
    <col min="17" max="17" width="9.85546875" style="223" customWidth="1"/>
    <col min="18" max="18" width="6.7109375" style="223" customWidth="1"/>
    <col min="19" max="19" width="8.85546875" style="223" bestFit="1" customWidth="1"/>
    <col min="20" max="20" width="7.28515625" style="223" bestFit="1" customWidth="1"/>
    <col min="21" max="21" width="7.140625" style="223" customWidth="1"/>
    <col min="22" max="22" width="2.140625" style="223" customWidth="1"/>
    <col min="23" max="16384" width="9.140625" style="223"/>
  </cols>
  <sheetData>
    <row r="1" spans="1:22" ht="90" customHeight="1" thickBot="1" x14ac:dyDescent="0.3">
      <c r="A1" s="226"/>
      <c r="B1" s="331" t="s">
        <v>115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226"/>
    </row>
    <row r="2" spans="1:22" s="229" customFormat="1" ht="34.15" customHeight="1" thickBot="1" x14ac:dyDescent="0.3">
      <c r="A2" s="227"/>
      <c r="B2" s="327" t="s">
        <v>116</v>
      </c>
      <c r="C2" s="328"/>
      <c r="D2" s="381" t="s">
        <v>117</v>
      </c>
      <c r="E2" s="381"/>
      <c r="F2" s="381"/>
      <c r="G2" s="382"/>
      <c r="H2" s="228"/>
      <c r="I2" s="327" t="s">
        <v>116</v>
      </c>
      <c r="J2" s="328"/>
      <c r="K2" s="381" t="s">
        <v>118</v>
      </c>
      <c r="L2" s="381"/>
      <c r="M2" s="381"/>
      <c r="N2" s="382"/>
      <c r="O2" s="228"/>
      <c r="P2" s="329" t="s">
        <v>116</v>
      </c>
      <c r="Q2" s="330"/>
      <c r="R2" s="338" t="s">
        <v>119</v>
      </c>
      <c r="S2" s="338"/>
      <c r="T2" s="338"/>
      <c r="U2" s="339"/>
      <c r="V2" s="227"/>
    </row>
    <row r="3" spans="1:22" ht="25.9" customHeight="1" x14ac:dyDescent="0.25">
      <c r="A3" s="226"/>
      <c r="B3" s="80" t="s">
        <v>124</v>
      </c>
      <c r="C3" s="81" t="s">
        <v>19</v>
      </c>
      <c r="D3" s="81" t="s">
        <v>120</v>
      </c>
      <c r="E3" s="82" t="s">
        <v>121</v>
      </c>
      <c r="F3" s="82" t="s">
        <v>20</v>
      </c>
      <c r="G3" s="83" t="s">
        <v>21</v>
      </c>
      <c r="H3" s="226"/>
      <c r="I3" s="80" t="s">
        <v>124</v>
      </c>
      <c r="J3" s="81" t="s">
        <v>19</v>
      </c>
      <c r="K3" s="81" t="s">
        <v>120</v>
      </c>
      <c r="L3" s="82" t="s">
        <v>121</v>
      </c>
      <c r="M3" s="82" t="s">
        <v>20</v>
      </c>
      <c r="N3" s="83" t="s">
        <v>21</v>
      </c>
      <c r="O3" s="226"/>
      <c r="P3" s="80" t="s">
        <v>124</v>
      </c>
      <c r="Q3" s="81" t="s">
        <v>19</v>
      </c>
      <c r="R3" s="81" t="s">
        <v>120</v>
      </c>
      <c r="S3" s="82" t="s">
        <v>121</v>
      </c>
      <c r="T3" s="82" t="s">
        <v>20</v>
      </c>
      <c r="U3" s="83" t="s">
        <v>21</v>
      </c>
      <c r="V3" s="226"/>
    </row>
    <row r="4" spans="1:22" x14ac:dyDescent="0.25">
      <c r="A4" s="226"/>
      <c r="B4" s="54" t="s">
        <v>180</v>
      </c>
      <c r="C4" s="148">
        <f>VLOOKUP(B4,'Daftar Peralatan'!$B$4:$C$23,2,FALSE)</f>
        <v>20</v>
      </c>
      <c r="D4" s="53">
        <v>3</v>
      </c>
      <c r="E4" s="53">
        <v>4</v>
      </c>
      <c r="F4" s="30">
        <f>C4*D4</f>
        <v>60</v>
      </c>
      <c r="G4" s="366">
        <f>E4*F4</f>
        <v>240</v>
      </c>
      <c r="H4" s="226"/>
      <c r="I4" s="54" t="s">
        <v>180</v>
      </c>
      <c r="J4" s="148">
        <f>VLOOKUP(I4,'Daftar Peralatan'!$B$4:$C$23,2,FALSE)</f>
        <v>20</v>
      </c>
      <c r="K4" s="53">
        <v>3</v>
      </c>
      <c r="L4" s="53">
        <v>8</v>
      </c>
      <c r="M4" s="30">
        <f t="shared" ref="M4:M13" si="0">J4*K4</f>
        <v>60</v>
      </c>
      <c r="N4" s="366">
        <f t="shared" ref="N4:N13" si="1">L4*M4</f>
        <v>480</v>
      </c>
      <c r="O4" s="226"/>
      <c r="P4" s="368" t="s">
        <v>180</v>
      </c>
      <c r="Q4" s="369">
        <f>VLOOKUP(P4,'Daftar Peralatan'!$B$4:$C$23,2,FALSE)</f>
        <v>20</v>
      </c>
      <c r="R4" s="370">
        <v>1</v>
      </c>
      <c r="S4" s="370">
        <v>2</v>
      </c>
      <c r="T4" s="371">
        <f>Q4*R4</f>
        <v>20</v>
      </c>
      <c r="U4" s="371">
        <f>S4*T4</f>
        <v>40</v>
      </c>
      <c r="V4" s="226"/>
    </row>
    <row r="5" spans="1:22" x14ac:dyDescent="0.25">
      <c r="A5" s="226"/>
      <c r="B5" s="54" t="s">
        <v>179</v>
      </c>
      <c r="C5" s="148">
        <f>VLOOKUP(B5,'Daftar Peralatan'!$B$4:$C$23,2,FALSE)</f>
        <v>40</v>
      </c>
      <c r="D5" s="53">
        <v>2</v>
      </c>
      <c r="E5" s="53">
        <v>3</v>
      </c>
      <c r="F5" s="30">
        <f>C5*D5</f>
        <v>80</v>
      </c>
      <c r="G5" s="366">
        <f t="shared" ref="G5:G13" si="2">E5*F5</f>
        <v>240</v>
      </c>
      <c r="H5" s="226"/>
      <c r="I5" s="54" t="s">
        <v>179</v>
      </c>
      <c r="J5" s="148">
        <f>VLOOKUP(I5,'Daftar Peralatan'!$B$4:$C$23,2,FALSE)</f>
        <v>40</v>
      </c>
      <c r="K5" s="53">
        <v>1</v>
      </c>
      <c r="L5" s="53">
        <v>4</v>
      </c>
      <c r="M5" s="30">
        <f t="shared" si="0"/>
        <v>40</v>
      </c>
      <c r="N5" s="366">
        <f t="shared" si="1"/>
        <v>160</v>
      </c>
      <c r="O5" s="226"/>
      <c r="P5" s="368" t="s">
        <v>11</v>
      </c>
      <c r="Q5" s="369">
        <f>VLOOKUP(P5,'Daftar Peralatan'!$B$4:$C$23,2,FALSE)</f>
        <v>15</v>
      </c>
      <c r="R5" s="370">
        <v>1</v>
      </c>
      <c r="S5" s="370">
        <v>1</v>
      </c>
      <c r="T5" s="371">
        <f>Q5*R5</f>
        <v>15</v>
      </c>
      <c r="U5" s="371">
        <f t="shared" ref="U5:U13" si="3">S5*T5</f>
        <v>15</v>
      </c>
      <c r="V5" s="226"/>
    </row>
    <row r="6" spans="1:22" x14ac:dyDescent="0.25">
      <c r="A6" s="226"/>
      <c r="B6" s="54" t="s">
        <v>122</v>
      </c>
      <c r="C6" s="148">
        <f>VLOOKUP(B6,'Daftar Peralatan'!$B$4:$C$23,2,FALSE)</f>
        <v>0</v>
      </c>
      <c r="D6" s="53">
        <v>0</v>
      </c>
      <c r="E6" s="53">
        <v>0</v>
      </c>
      <c r="F6" s="30">
        <f>C6*D6</f>
        <v>0</v>
      </c>
      <c r="G6" s="366">
        <f t="shared" si="2"/>
        <v>0</v>
      </c>
      <c r="H6" s="226"/>
      <c r="I6" s="54" t="s">
        <v>11</v>
      </c>
      <c r="J6" s="148">
        <f>VLOOKUP(I6,'Daftar Peralatan'!$B$4:$C$23,2,FALSE)</f>
        <v>15</v>
      </c>
      <c r="K6" s="53">
        <v>1</v>
      </c>
      <c r="L6" s="53">
        <v>1</v>
      </c>
      <c r="M6" s="30">
        <f t="shared" si="0"/>
        <v>15</v>
      </c>
      <c r="N6" s="366">
        <f t="shared" si="1"/>
        <v>15</v>
      </c>
      <c r="O6" s="226"/>
      <c r="P6" s="368" t="s">
        <v>179</v>
      </c>
      <c r="Q6" s="369">
        <f>VLOOKUP(P6,'Daftar Peralatan'!$B$4:$C$23,2,FALSE)</f>
        <v>40</v>
      </c>
      <c r="R6" s="370">
        <v>1</v>
      </c>
      <c r="S6" s="370">
        <v>5</v>
      </c>
      <c r="T6" s="371">
        <f>Q6*R6</f>
        <v>40</v>
      </c>
      <c r="U6" s="371">
        <f t="shared" si="3"/>
        <v>200</v>
      </c>
      <c r="V6" s="226"/>
    </row>
    <row r="7" spans="1:22" x14ac:dyDescent="0.25">
      <c r="A7" s="226"/>
      <c r="B7" s="54" t="s">
        <v>122</v>
      </c>
      <c r="C7" s="148">
        <f>VLOOKUP(B7,'Daftar Peralatan'!$B$4:$C$23,2,FALSE)</f>
        <v>0</v>
      </c>
      <c r="D7" s="53">
        <v>0</v>
      </c>
      <c r="E7" s="53">
        <v>0</v>
      </c>
      <c r="F7" s="30">
        <f>C7*D7</f>
        <v>0</v>
      </c>
      <c r="G7" s="366">
        <f t="shared" si="2"/>
        <v>0</v>
      </c>
      <c r="H7" s="226"/>
      <c r="I7" s="54" t="s">
        <v>122</v>
      </c>
      <c r="J7" s="148">
        <f>VLOOKUP(I7,'Daftar Peralatan'!$B$4:$C$23,2,FALSE)</f>
        <v>0</v>
      </c>
      <c r="K7" s="53">
        <v>0</v>
      </c>
      <c r="L7" s="53">
        <v>0</v>
      </c>
      <c r="M7" s="30">
        <f t="shared" si="0"/>
        <v>0</v>
      </c>
      <c r="N7" s="366">
        <f t="shared" si="1"/>
        <v>0</v>
      </c>
      <c r="O7" s="226"/>
      <c r="P7" s="368" t="s">
        <v>7</v>
      </c>
      <c r="Q7" s="369">
        <f>VLOOKUP(P7,'Daftar Peralatan'!$B$4:$C$23,2,FALSE)</f>
        <v>400</v>
      </c>
      <c r="R7" s="370">
        <v>1</v>
      </c>
      <c r="S7" s="370">
        <v>1</v>
      </c>
      <c r="T7" s="371">
        <f>Q7*R7</f>
        <v>400</v>
      </c>
      <c r="U7" s="371">
        <f t="shared" si="3"/>
        <v>400</v>
      </c>
      <c r="V7" s="226"/>
    </row>
    <row r="8" spans="1:22" x14ac:dyDescent="0.25">
      <c r="A8" s="226"/>
      <c r="B8" s="54" t="s">
        <v>122</v>
      </c>
      <c r="C8" s="148">
        <f>VLOOKUP(B8,'Daftar Peralatan'!$B$4:$C$23,2,FALSE)</f>
        <v>0</v>
      </c>
      <c r="D8" s="53">
        <v>0</v>
      </c>
      <c r="E8" s="53">
        <v>0</v>
      </c>
      <c r="F8" s="30">
        <f t="shared" ref="F8:F13" si="4">C8*D8</f>
        <v>0</v>
      </c>
      <c r="G8" s="366">
        <f t="shared" si="2"/>
        <v>0</v>
      </c>
      <c r="H8" s="226"/>
      <c r="I8" s="54" t="s">
        <v>122</v>
      </c>
      <c r="J8" s="148">
        <f>VLOOKUP(I8,'Daftar Peralatan'!$B$4:$C$23,2,FALSE)</f>
        <v>0</v>
      </c>
      <c r="K8" s="53">
        <v>0</v>
      </c>
      <c r="L8" s="53">
        <v>0</v>
      </c>
      <c r="M8" s="30">
        <f t="shared" si="0"/>
        <v>0</v>
      </c>
      <c r="N8" s="366">
        <f t="shared" si="1"/>
        <v>0</v>
      </c>
      <c r="O8" s="226"/>
      <c r="P8" s="368" t="s">
        <v>122</v>
      </c>
      <c r="Q8" s="369">
        <f>VLOOKUP(P8,'Daftar Peralatan'!$B$4:$C$23,2,FALSE)</f>
        <v>0</v>
      </c>
      <c r="R8" s="370">
        <v>0</v>
      </c>
      <c r="S8" s="370">
        <v>0</v>
      </c>
      <c r="T8" s="371">
        <f t="shared" ref="T8:T13" si="5">Q8*R8</f>
        <v>0</v>
      </c>
      <c r="U8" s="371">
        <f t="shared" si="3"/>
        <v>0</v>
      </c>
      <c r="V8" s="226"/>
    </row>
    <row r="9" spans="1:22" x14ac:dyDescent="0.25">
      <c r="A9" s="226"/>
      <c r="B9" s="54" t="s">
        <v>122</v>
      </c>
      <c r="C9" s="148">
        <f>VLOOKUP(B9,'Daftar Peralatan'!$B$4:$C$23,2,FALSE)</f>
        <v>0</v>
      </c>
      <c r="D9" s="53">
        <v>0</v>
      </c>
      <c r="E9" s="53">
        <v>0</v>
      </c>
      <c r="F9" s="30">
        <f t="shared" si="4"/>
        <v>0</v>
      </c>
      <c r="G9" s="366">
        <f t="shared" si="2"/>
        <v>0</v>
      </c>
      <c r="H9" s="226"/>
      <c r="I9" s="54" t="s">
        <v>122</v>
      </c>
      <c r="J9" s="148">
        <f>VLOOKUP(I9,'Daftar Peralatan'!$B$4:$C$23,2,FALSE)</f>
        <v>0</v>
      </c>
      <c r="K9" s="53">
        <v>0</v>
      </c>
      <c r="L9" s="53">
        <v>0</v>
      </c>
      <c r="M9" s="30">
        <f t="shared" si="0"/>
        <v>0</v>
      </c>
      <c r="N9" s="366">
        <f t="shared" si="1"/>
        <v>0</v>
      </c>
      <c r="O9" s="226"/>
      <c r="P9" s="368" t="s">
        <v>122</v>
      </c>
      <c r="Q9" s="369">
        <f>VLOOKUP(P9,'Daftar Peralatan'!$B$4:$C$23,2,FALSE)</f>
        <v>0</v>
      </c>
      <c r="R9" s="370">
        <v>0</v>
      </c>
      <c r="S9" s="370">
        <v>0</v>
      </c>
      <c r="T9" s="371">
        <f t="shared" si="5"/>
        <v>0</v>
      </c>
      <c r="U9" s="371">
        <f t="shared" si="3"/>
        <v>0</v>
      </c>
      <c r="V9" s="226"/>
    </row>
    <row r="10" spans="1:22" x14ac:dyDescent="0.25">
      <c r="A10" s="226"/>
      <c r="B10" s="54" t="s">
        <v>122</v>
      </c>
      <c r="C10" s="148">
        <f>VLOOKUP(B10,'Daftar Peralatan'!$B$4:$C$23,2,FALSE)</f>
        <v>0</v>
      </c>
      <c r="D10" s="53">
        <v>0</v>
      </c>
      <c r="E10" s="53">
        <v>0</v>
      </c>
      <c r="F10" s="30">
        <f t="shared" si="4"/>
        <v>0</v>
      </c>
      <c r="G10" s="366">
        <f t="shared" si="2"/>
        <v>0</v>
      </c>
      <c r="H10" s="226"/>
      <c r="I10" s="54" t="s">
        <v>122</v>
      </c>
      <c r="J10" s="148">
        <f>VLOOKUP(I10,'Daftar Peralatan'!$B$4:$C$23,2,FALSE)</f>
        <v>0</v>
      </c>
      <c r="K10" s="53">
        <v>0</v>
      </c>
      <c r="L10" s="53">
        <v>0</v>
      </c>
      <c r="M10" s="30">
        <f t="shared" si="0"/>
        <v>0</v>
      </c>
      <c r="N10" s="366">
        <f t="shared" si="1"/>
        <v>0</v>
      </c>
      <c r="O10" s="226"/>
      <c r="P10" s="368" t="s">
        <v>122</v>
      </c>
      <c r="Q10" s="369">
        <f>VLOOKUP(P10,'Daftar Peralatan'!$B$4:$C$23,2,FALSE)</f>
        <v>0</v>
      </c>
      <c r="R10" s="370">
        <v>0</v>
      </c>
      <c r="S10" s="370">
        <v>0</v>
      </c>
      <c r="T10" s="371">
        <f t="shared" si="5"/>
        <v>0</v>
      </c>
      <c r="U10" s="371">
        <f t="shared" si="3"/>
        <v>0</v>
      </c>
      <c r="V10" s="226"/>
    </row>
    <row r="11" spans="1:22" x14ac:dyDescent="0.25">
      <c r="A11" s="226"/>
      <c r="B11" s="54" t="s">
        <v>122</v>
      </c>
      <c r="C11" s="148">
        <f>VLOOKUP(B11,'Daftar Peralatan'!$B$4:$C$23,2,FALSE)</f>
        <v>0</v>
      </c>
      <c r="D11" s="53"/>
      <c r="E11" s="53"/>
      <c r="F11" s="30">
        <f t="shared" si="4"/>
        <v>0</v>
      </c>
      <c r="G11" s="366">
        <f t="shared" si="2"/>
        <v>0</v>
      </c>
      <c r="H11" s="226"/>
      <c r="I11" s="54" t="s">
        <v>122</v>
      </c>
      <c r="J11" s="148">
        <f>VLOOKUP(I11,'Daftar Peralatan'!$B$4:$C$23,2,FALSE)</f>
        <v>0</v>
      </c>
      <c r="K11" s="53">
        <v>0</v>
      </c>
      <c r="L11" s="53">
        <v>0</v>
      </c>
      <c r="M11" s="30">
        <f t="shared" si="0"/>
        <v>0</v>
      </c>
      <c r="N11" s="366">
        <f t="shared" si="1"/>
        <v>0</v>
      </c>
      <c r="O11" s="226"/>
      <c r="P11" s="368" t="s">
        <v>122</v>
      </c>
      <c r="Q11" s="369">
        <f>VLOOKUP(P11,'Daftar Peralatan'!$B$4:$C$23,2,FALSE)</f>
        <v>0</v>
      </c>
      <c r="R11" s="370">
        <v>0</v>
      </c>
      <c r="S11" s="370">
        <v>0</v>
      </c>
      <c r="T11" s="371">
        <f t="shared" si="5"/>
        <v>0</v>
      </c>
      <c r="U11" s="371">
        <f t="shared" si="3"/>
        <v>0</v>
      </c>
      <c r="V11" s="226"/>
    </row>
    <row r="12" spans="1:22" x14ac:dyDescent="0.25">
      <c r="A12" s="226"/>
      <c r="B12" s="54" t="s">
        <v>122</v>
      </c>
      <c r="C12" s="148">
        <f>VLOOKUP(B12,'Daftar Peralatan'!$B$4:$C$23,2,FALSE)</f>
        <v>0</v>
      </c>
      <c r="D12" s="53">
        <v>0</v>
      </c>
      <c r="E12" s="53">
        <v>0</v>
      </c>
      <c r="F12" s="30">
        <f t="shared" si="4"/>
        <v>0</v>
      </c>
      <c r="G12" s="366">
        <f t="shared" si="2"/>
        <v>0</v>
      </c>
      <c r="H12" s="226"/>
      <c r="I12" s="54" t="s">
        <v>122</v>
      </c>
      <c r="J12" s="148">
        <f>VLOOKUP(I12,'Daftar Peralatan'!$B$4:$C$23,2,FALSE)</f>
        <v>0</v>
      </c>
      <c r="K12" s="53">
        <v>0</v>
      </c>
      <c r="L12" s="53">
        <v>0</v>
      </c>
      <c r="M12" s="30">
        <f t="shared" si="0"/>
        <v>0</v>
      </c>
      <c r="N12" s="366">
        <f t="shared" si="1"/>
        <v>0</v>
      </c>
      <c r="O12" s="226"/>
      <c r="P12" s="368" t="s">
        <v>122</v>
      </c>
      <c r="Q12" s="369">
        <f>VLOOKUP(P12,'Daftar Peralatan'!$B$4:$C$23,2,FALSE)</f>
        <v>0</v>
      </c>
      <c r="R12" s="370">
        <v>0</v>
      </c>
      <c r="S12" s="370">
        <v>0</v>
      </c>
      <c r="T12" s="371">
        <f t="shared" si="5"/>
        <v>0</v>
      </c>
      <c r="U12" s="371">
        <f t="shared" si="3"/>
        <v>0</v>
      </c>
      <c r="V12" s="226"/>
    </row>
    <row r="13" spans="1:22" ht="15.75" thickBot="1" x14ac:dyDescent="0.3">
      <c r="A13" s="226"/>
      <c r="B13" s="54" t="s">
        <v>122</v>
      </c>
      <c r="C13" s="148">
        <f>VLOOKUP(B13,'Daftar Peralatan'!$B$4:$C$23,2,FALSE)</f>
        <v>0</v>
      </c>
      <c r="D13" s="53">
        <v>0</v>
      </c>
      <c r="E13" s="53">
        <v>0</v>
      </c>
      <c r="F13" s="84">
        <f t="shared" si="4"/>
        <v>0</v>
      </c>
      <c r="G13" s="367">
        <f t="shared" si="2"/>
        <v>0</v>
      </c>
      <c r="H13" s="226"/>
      <c r="I13" s="54" t="s">
        <v>122</v>
      </c>
      <c r="J13" s="148">
        <f>VLOOKUP(I13,'Daftar Peralatan'!$B$4:$C$23,2,FALSE)</f>
        <v>0</v>
      </c>
      <c r="K13" s="53">
        <v>0</v>
      </c>
      <c r="L13" s="53">
        <v>0</v>
      </c>
      <c r="M13" s="84">
        <f t="shared" si="0"/>
        <v>0</v>
      </c>
      <c r="N13" s="367">
        <f t="shared" si="1"/>
        <v>0</v>
      </c>
      <c r="O13" s="226"/>
      <c r="P13" s="368" t="s">
        <v>122</v>
      </c>
      <c r="Q13" s="369">
        <f>VLOOKUP(P13,'Daftar Peralatan'!$B$4:$C$23,2,FALSE)</f>
        <v>0</v>
      </c>
      <c r="R13" s="370">
        <v>0</v>
      </c>
      <c r="S13" s="370">
        <v>0</v>
      </c>
      <c r="T13" s="372">
        <f t="shared" si="5"/>
        <v>0</v>
      </c>
      <c r="U13" s="372">
        <f t="shared" si="3"/>
        <v>0</v>
      </c>
      <c r="V13" s="226"/>
    </row>
    <row r="14" spans="1:22" ht="15.75" thickBot="1" x14ac:dyDescent="0.3">
      <c r="A14" s="226"/>
      <c r="B14" s="325" t="s">
        <v>123</v>
      </c>
      <c r="C14" s="326"/>
      <c r="D14" s="326"/>
      <c r="E14" s="326"/>
      <c r="F14" s="373">
        <f>SUM(F4:F13)</f>
        <v>140</v>
      </c>
      <c r="G14" s="374">
        <f>SUM(G4:G13)</f>
        <v>480</v>
      </c>
      <c r="H14" s="226"/>
      <c r="I14" s="325" t="s">
        <v>123</v>
      </c>
      <c r="J14" s="326"/>
      <c r="K14" s="326"/>
      <c r="L14" s="326"/>
      <c r="M14" s="373">
        <f>SUM(M4:M13)</f>
        <v>115</v>
      </c>
      <c r="N14" s="374">
        <f>SUM(N4:N13)</f>
        <v>655</v>
      </c>
      <c r="O14" s="226"/>
      <c r="P14" s="325" t="s">
        <v>123</v>
      </c>
      <c r="Q14" s="326"/>
      <c r="R14" s="326"/>
      <c r="S14" s="326"/>
      <c r="T14" s="375">
        <f>SUM(T4:T13)</f>
        <v>475</v>
      </c>
      <c r="U14" s="376">
        <f>SUM(U4:U13)</f>
        <v>655</v>
      </c>
      <c r="V14" s="226"/>
    </row>
    <row r="15" spans="1:22" x14ac:dyDescent="0.25">
      <c r="A15" s="226"/>
      <c r="B15" s="230"/>
      <c r="C15" s="230"/>
      <c r="D15" s="230"/>
      <c r="E15" s="230"/>
      <c r="F15" s="230"/>
      <c r="G15" s="230"/>
      <c r="H15" s="226"/>
      <c r="I15" s="230"/>
      <c r="J15" s="230"/>
      <c r="K15" s="230"/>
      <c r="L15" s="230"/>
      <c r="M15" s="230"/>
      <c r="N15" s="230"/>
      <c r="O15" s="226"/>
      <c r="P15" s="226"/>
      <c r="Q15" s="226"/>
      <c r="R15" s="226"/>
      <c r="S15" s="226"/>
      <c r="T15" s="226"/>
      <c r="U15" s="226"/>
      <c r="V15" s="226"/>
    </row>
    <row r="16" spans="1:22" ht="14.45" x14ac:dyDescent="0.3">
      <c r="A16" s="226"/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</row>
    <row r="29" spans="2:11" x14ac:dyDescent="0.25">
      <c r="B29" s="231"/>
      <c r="C29" s="231"/>
      <c r="D29" s="231"/>
      <c r="E29" s="231"/>
      <c r="F29" s="231"/>
      <c r="G29" s="231"/>
      <c r="I29" s="231"/>
      <c r="J29" s="231"/>
      <c r="K29" s="231"/>
    </row>
  </sheetData>
  <sheetProtection sheet="1" objects="1" scenarios="1" selectLockedCells="1"/>
  <dataConsolidate/>
  <mergeCells count="10">
    <mergeCell ref="B1:U1"/>
    <mergeCell ref="K2:N2"/>
    <mergeCell ref="R2:U2"/>
    <mergeCell ref="D2:G2"/>
    <mergeCell ref="B2:C2"/>
    <mergeCell ref="B14:E14"/>
    <mergeCell ref="I14:L14"/>
    <mergeCell ref="P14:S14"/>
    <mergeCell ref="I2:J2"/>
    <mergeCell ref="P2:Q2"/>
  </mergeCells>
  <pageMargins left="0.25" right="0.25" top="0.75" bottom="0.75" header="0.3" footer="0.3"/>
  <pageSetup paperSize="9" scale="75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equal" id="{A219EA2D-F30B-445D-B5D9-CB8622F03BDE}">
            <xm:f>'C:\Users\David\Documents\[140602 EnDev ID - Load and Tariff Calculation Tool DAVIDv1.xlsx]Appliance List'!#REF!</xm:f>
            <x14:dxf/>
          </x14:cfRule>
          <xm:sqref>I4:I13</xm:sqref>
        </x14:conditionalFormatting>
        <x14:conditionalFormatting xmlns:xm="http://schemas.microsoft.com/office/excel/2006/main">
          <x14:cfRule type="cellIs" priority="1" operator="equal" id="{40605BC2-298F-44FB-981D-C0C30740FF37}">
            <xm:f>'C:\Users\David\Documents\[140602 EnDev ID - Load and Tariff Calculation Tool DAVIDv1.xlsx]Appliance List'!#REF!</xm:f>
            <x14:dxf/>
          </x14:cfRule>
          <xm:sqref>P4:P13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'Daftar Peralatan'!$B$4:$B$23</xm:f>
          </x14:formula1>
          <xm:sqref>B4:B13 P4:P13</xm:sqref>
        </x14:dataValidation>
        <x14:dataValidation type="list" allowBlank="1" showInputMessage="1" showErrorMessage="1">
          <x14:formula1>
            <xm:f>'Daftar Peralatan'!$B$4:$B$23</xm:f>
          </x14:formula1>
          <xm:sqref>I4:I13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X16"/>
  <sheetViews>
    <sheetView showZeros="0" view="pageBreakPreview" zoomScale="70" zoomScaleNormal="100" zoomScaleSheetLayoutView="70" workbookViewId="0">
      <selection activeCell="E2" sqref="E2:G2"/>
    </sheetView>
  </sheetViews>
  <sheetFormatPr defaultColWidth="9.140625" defaultRowHeight="15" x14ac:dyDescent="0.25"/>
  <cols>
    <col min="1" max="1" width="1.85546875" style="223" customWidth="1"/>
    <col min="2" max="2" width="17" style="223" customWidth="1"/>
    <col min="3" max="3" width="8.140625" style="223" customWidth="1"/>
    <col min="4" max="5" width="6.85546875" style="223" customWidth="1"/>
    <col min="6" max="6" width="6.7109375" style="223" customWidth="1"/>
    <col min="7" max="7" width="7.28515625" style="223" bestFit="1" customWidth="1"/>
    <col min="8" max="8" width="1.28515625" style="223" customWidth="1"/>
    <col min="9" max="9" width="17" style="223" customWidth="1"/>
    <col min="10" max="10" width="8.7109375" style="223" customWidth="1"/>
    <col min="11" max="11" width="6.5703125" style="223" customWidth="1"/>
    <col min="12" max="12" width="7" style="223" customWidth="1"/>
    <col min="13" max="13" width="7.28515625" style="223" bestFit="1" customWidth="1"/>
    <col min="14" max="14" width="7.7109375" style="223" customWidth="1"/>
    <col min="15" max="15" width="1.28515625" style="223" customWidth="1"/>
    <col min="16" max="16" width="16.85546875" style="223" customWidth="1"/>
    <col min="17" max="17" width="9.140625" style="223"/>
    <col min="18" max="18" width="6.42578125" style="223" customWidth="1"/>
    <col min="19" max="19" width="6.7109375" style="223" customWidth="1"/>
    <col min="20" max="21" width="7.28515625" style="223" bestFit="1" customWidth="1"/>
    <col min="22" max="22" width="2.140625" style="223" customWidth="1"/>
    <col min="23" max="16384" width="9.140625" style="223"/>
  </cols>
  <sheetData>
    <row r="1" spans="1:24" ht="90.75" customHeight="1" thickBot="1" x14ac:dyDescent="0.3">
      <c r="A1" s="224"/>
      <c r="B1" s="334" t="s">
        <v>125</v>
      </c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224"/>
    </row>
    <row r="2" spans="1:24" ht="31.9" customHeight="1" thickBot="1" x14ac:dyDescent="0.3">
      <c r="A2" s="224"/>
      <c r="B2" s="335" t="s">
        <v>126</v>
      </c>
      <c r="C2" s="336"/>
      <c r="D2" s="336"/>
      <c r="E2" s="337" t="s">
        <v>127</v>
      </c>
      <c r="F2" s="338"/>
      <c r="G2" s="339"/>
      <c r="H2" s="225"/>
      <c r="I2" s="335" t="s">
        <v>126</v>
      </c>
      <c r="J2" s="336"/>
      <c r="K2" s="336"/>
      <c r="L2" s="337" t="s">
        <v>128</v>
      </c>
      <c r="M2" s="338"/>
      <c r="N2" s="339"/>
      <c r="O2" s="225"/>
      <c r="P2" s="335" t="s">
        <v>126</v>
      </c>
      <c r="Q2" s="336"/>
      <c r="R2" s="336"/>
      <c r="S2" s="337" t="s">
        <v>129</v>
      </c>
      <c r="T2" s="338"/>
      <c r="U2" s="339"/>
      <c r="V2" s="224"/>
    </row>
    <row r="3" spans="1:24" ht="28.15" customHeight="1" x14ac:dyDescent="0.25">
      <c r="A3" s="224"/>
      <c r="B3" s="86" t="s">
        <v>124</v>
      </c>
      <c r="C3" s="87" t="s">
        <v>19</v>
      </c>
      <c r="D3" s="87" t="s">
        <v>120</v>
      </c>
      <c r="E3" s="88" t="s">
        <v>121</v>
      </c>
      <c r="F3" s="88" t="s">
        <v>20</v>
      </c>
      <c r="G3" s="89" t="s">
        <v>21</v>
      </c>
      <c r="H3" s="224"/>
      <c r="I3" s="86" t="s">
        <v>124</v>
      </c>
      <c r="J3" s="87" t="s">
        <v>19</v>
      </c>
      <c r="K3" s="87" t="s">
        <v>120</v>
      </c>
      <c r="L3" s="88" t="s">
        <v>121</v>
      </c>
      <c r="M3" s="88" t="s">
        <v>20</v>
      </c>
      <c r="N3" s="89" t="s">
        <v>21</v>
      </c>
      <c r="O3" s="224"/>
      <c r="P3" s="86" t="s">
        <v>124</v>
      </c>
      <c r="Q3" s="87" t="s">
        <v>19</v>
      </c>
      <c r="R3" s="87" t="s">
        <v>120</v>
      </c>
      <c r="S3" s="88" t="s">
        <v>121</v>
      </c>
      <c r="T3" s="88" t="s">
        <v>20</v>
      </c>
      <c r="U3" s="89" t="s">
        <v>21</v>
      </c>
      <c r="V3" s="224"/>
    </row>
    <row r="4" spans="1:24" ht="14.45" x14ac:dyDescent="0.3">
      <c r="A4" s="224"/>
      <c r="B4" s="95" t="s">
        <v>182</v>
      </c>
      <c r="C4" s="147">
        <f>VLOOKUP(B4,'Daftar Peralatan'!$E$4:$F$23,2,FALSE)</f>
        <v>20</v>
      </c>
      <c r="D4" s="53">
        <v>6</v>
      </c>
      <c r="E4" s="53">
        <v>8</v>
      </c>
      <c r="F4" s="90">
        <f>C4*D4</f>
        <v>120</v>
      </c>
      <c r="G4" s="93">
        <f>E4*F4</f>
        <v>960</v>
      </c>
      <c r="H4" s="224"/>
      <c r="I4" s="95" t="s">
        <v>128</v>
      </c>
      <c r="J4" s="147">
        <f>VLOOKUP(I4,'Daftar Peralatan'!$E$4:$F$23,2,FALSE)</f>
        <v>10</v>
      </c>
      <c r="K4" s="53">
        <v>1</v>
      </c>
      <c r="L4" s="53">
        <v>8</v>
      </c>
      <c r="M4" s="90">
        <f>J4*K4</f>
        <v>10</v>
      </c>
      <c r="N4" s="93">
        <f>L4*M4</f>
        <v>80</v>
      </c>
      <c r="O4" s="224"/>
      <c r="P4" s="95" t="s">
        <v>122</v>
      </c>
      <c r="Q4" s="147">
        <f>VLOOKUP(P4,'Daftar Peralatan'!$E$4:$F$23,2,FALSE)</f>
        <v>0</v>
      </c>
      <c r="R4" s="53"/>
      <c r="S4" s="53"/>
      <c r="T4" s="90">
        <f>Q4*R4</f>
        <v>0</v>
      </c>
      <c r="U4" s="93">
        <f>S4*T4</f>
        <v>0</v>
      </c>
      <c r="V4" s="224"/>
    </row>
    <row r="5" spans="1:24" ht="14.45" x14ac:dyDescent="0.3">
      <c r="A5" s="224"/>
      <c r="B5" s="95" t="s">
        <v>122</v>
      </c>
      <c r="C5" s="147">
        <f>VLOOKUP(B5,'Daftar Peralatan'!$E$4:$F$23,2,FALSE)</f>
        <v>0</v>
      </c>
      <c r="D5" s="53"/>
      <c r="E5" s="53"/>
      <c r="F5" s="90">
        <f>C5*D5</f>
        <v>0</v>
      </c>
      <c r="G5" s="93">
        <f t="shared" ref="G5:G13" si="0">E5*F5</f>
        <v>0</v>
      </c>
      <c r="H5" s="224"/>
      <c r="I5" s="95" t="s">
        <v>122</v>
      </c>
      <c r="J5" s="147">
        <f>VLOOKUP(I5,'Daftar Peralatan'!$E$4:$F$23,2,FALSE)</f>
        <v>0</v>
      </c>
      <c r="K5" s="53">
        <v>0</v>
      </c>
      <c r="L5" s="53">
        <v>0</v>
      </c>
      <c r="M5" s="90">
        <f>J5*K5</f>
        <v>0</v>
      </c>
      <c r="N5" s="93">
        <f t="shared" ref="N5:N13" si="1">L5*M5</f>
        <v>0</v>
      </c>
      <c r="O5" s="224"/>
      <c r="P5" s="95" t="s">
        <v>122</v>
      </c>
      <c r="Q5" s="147">
        <f>VLOOKUP(P5,'Daftar Peralatan'!$E$4:$F$23,2,FALSE)</f>
        <v>0</v>
      </c>
      <c r="R5" s="53">
        <v>0</v>
      </c>
      <c r="S5" s="53">
        <v>0</v>
      </c>
      <c r="T5" s="90">
        <f>Q5*R5</f>
        <v>0</v>
      </c>
      <c r="U5" s="93">
        <f t="shared" ref="U5:U13" si="2">S5*T5</f>
        <v>0</v>
      </c>
      <c r="V5" s="224"/>
    </row>
    <row r="6" spans="1:24" ht="14.45" x14ac:dyDescent="0.3">
      <c r="A6" s="224"/>
      <c r="B6" s="95" t="s">
        <v>122</v>
      </c>
      <c r="C6" s="147">
        <f>VLOOKUP(B6,'Daftar Peralatan'!$E$4:$F$23,2,FALSE)</f>
        <v>0</v>
      </c>
      <c r="D6" s="53">
        <v>0</v>
      </c>
      <c r="E6" s="53">
        <v>0</v>
      </c>
      <c r="F6" s="90">
        <f>C6*D6</f>
        <v>0</v>
      </c>
      <c r="G6" s="93">
        <f t="shared" si="0"/>
        <v>0</v>
      </c>
      <c r="H6" s="224"/>
      <c r="I6" s="95" t="s">
        <v>122</v>
      </c>
      <c r="J6" s="147">
        <f>VLOOKUP(I6,'Daftar Peralatan'!$E$4:$F$23,2,FALSE)</f>
        <v>0</v>
      </c>
      <c r="K6" s="53">
        <v>0</v>
      </c>
      <c r="L6" s="53">
        <v>0</v>
      </c>
      <c r="M6" s="90">
        <f>J6*K6</f>
        <v>0</v>
      </c>
      <c r="N6" s="93">
        <f t="shared" si="1"/>
        <v>0</v>
      </c>
      <c r="O6" s="224"/>
      <c r="P6" s="95" t="s">
        <v>122</v>
      </c>
      <c r="Q6" s="147">
        <f>VLOOKUP(P6,'Daftar Peralatan'!$E$4:$F$23,2,FALSE)</f>
        <v>0</v>
      </c>
      <c r="R6" s="53">
        <v>0</v>
      </c>
      <c r="S6" s="53">
        <v>0</v>
      </c>
      <c r="T6" s="90">
        <f>Q6*R6</f>
        <v>0</v>
      </c>
      <c r="U6" s="93">
        <f t="shared" si="2"/>
        <v>0</v>
      </c>
      <c r="V6" s="224"/>
    </row>
    <row r="7" spans="1:24" ht="14.45" x14ac:dyDescent="0.3">
      <c r="A7" s="224"/>
      <c r="B7" s="95" t="s">
        <v>122</v>
      </c>
      <c r="C7" s="147">
        <f>VLOOKUP(B7,'Daftar Peralatan'!$E$4:$F$23,2,FALSE)</f>
        <v>0</v>
      </c>
      <c r="D7" s="53"/>
      <c r="E7" s="53"/>
      <c r="F7" s="90">
        <f>C7*D7</f>
        <v>0</v>
      </c>
      <c r="G7" s="93">
        <f t="shared" si="0"/>
        <v>0</v>
      </c>
      <c r="H7" s="224"/>
      <c r="I7" s="95" t="s">
        <v>122</v>
      </c>
      <c r="J7" s="147">
        <f>VLOOKUP(I7,'Daftar Peralatan'!$E$4:$F$23,2,FALSE)</f>
        <v>0</v>
      </c>
      <c r="K7" s="53"/>
      <c r="L7" s="53"/>
      <c r="M7" s="90">
        <f>J7*K7</f>
        <v>0</v>
      </c>
      <c r="N7" s="93">
        <f t="shared" si="1"/>
        <v>0</v>
      </c>
      <c r="O7" s="224"/>
      <c r="P7" s="95" t="s">
        <v>122</v>
      </c>
      <c r="Q7" s="147">
        <f>VLOOKUP(P7,'Daftar Peralatan'!$E$4:$F$23,2,FALSE)</f>
        <v>0</v>
      </c>
      <c r="R7" s="53"/>
      <c r="S7" s="53"/>
      <c r="T7" s="90">
        <f>Q7*R7</f>
        <v>0</v>
      </c>
      <c r="U7" s="93">
        <f t="shared" si="2"/>
        <v>0</v>
      </c>
      <c r="V7" s="224"/>
    </row>
    <row r="8" spans="1:24" ht="14.45" x14ac:dyDescent="0.3">
      <c r="A8" s="224"/>
      <c r="B8" s="95" t="s">
        <v>122</v>
      </c>
      <c r="C8" s="147">
        <f>VLOOKUP(B8,'Daftar Peralatan'!$E$4:$F$23,2,FALSE)</f>
        <v>0</v>
      </c>
      <c r="D8" s="53"/>
      <c r="E8" s="53"/>
      <c r="F8" s="90">
        <f t="shared" ref="F8:F13" si="3">C8*D8</f>
        <v>0</v>
      </c>
      <c r="G8" s="93">
        <f t="shared" si="0"/>
        <v>0</v>
      </c>
      <c r="H8" s="224"/>
      <c r="I8" s="95" t="s">
        <v>122</v>
      </c>
      <c r="J8" s="147">
        <f>VLOOKUP(I8,'Daftar Peralatan'!$E$4:$F$23,2,FALSE)</f>
        <v>0</v>
      </c>
      <c r="K8" s="53"/>
      <c r="L8" s="53"/>
      <c r="M8" s="90">
        <f t="shared" ref="M8:M13" si="4">J8*K8</f>
        <v>0</v>
      </c>
      <c r="N8" s="93">
        <f t="shared" si="1"/>
        <v>0</v>
      </c>
      <c r="O8" s="224"/>
      <c r="P8" s="95" t="s">
        <v>122</v>
      </c>
      <c r="Q8" s="147">
        <f>VLOOKUP(P8,'Daftar Peralatan'!$E$4:$F$23,2,FALSE)</f>
        <v>0</v>
      </c>
      <c r="R8" s="53"/>
      <c r="S8" s="53"/>
      <c r="T8" s="90">
        <f t="shared" ref="T8:T13" si="5">Q8*R8</f>
        <v>0</v>
      </c>
      <c r="U8" s="93">
        <f t="shared" si="2"/>
        <v>0</v>
      </c>
      <c r="V8" s="224"/>
    </row>
    <row r="9" spans="1:24" ht="14.45" x14ac:dyDescent="0.3">
      <c r="A9" s="224"/>
      <c r="B9" s="95" t="s">
        <v>122</v>
      </c>
      <c r="C9" s="147">
        <f>VLOOKUP(B9,'Daftar Peralatan'!$E$4:$F$23,2,FALSE)</f>
        <v>0</v>
      </c>
      <c r="D9" s="53"/>
      <c r="E9" s="53"/>
      <c r="F9" s="90">
        <f t="shared" si="3"/>
        <v>0</v>
      </c>
      <c r="G9" s="93">
        <f t="shared" si="0"/>
        <v>0</v>
      </c>
      <c r="H9" s="224"/>
      <c r="I9" s="95" t="s">
        <v>122</v>
      </c>
      <c r="J9" s="147">
        <f>VLOOKUP(I9,'Daftar Peralatan'!$E$4:$F$23,2,FALSE)</f>
        <v>0</v>
      </c>
      <c r="K9" s="53"/>
      <c r="L9" s="53"/>
      <c r="M9" s="90">
        <f t="shared" si="4"/>
        <v>0</v>
      </c>
      <c r="N9" s="93">
        <f t="shared" si="1"/>
        <v>0</v>
      </c>
      <c r="O9" s="224"/>
      <c r="P9" s="95" t="s">
        <v>122</v>
      </c>
      <c r="Q9" s="147">
        <f>VLOOKUP(P9,'Daftar Peralatan'!$E$4:$F$23,2,FALSE)</f>
        <v>0</v>
      </c>
      <c r="R9" s="53"/>
      <c r="S9" s="53"/>
      <c r="T9" s="90">
        <f t="shared" si="5"/>
        <v>0</v>
      </c>
      <c r="U9" s="93">
        <f t="shared" si="2"/>
        <v>0</v>
      </c>
      <c r="V9" s="224"/>
    </row>
    <row r="10" spans="1:24" ht="14.45" x14ac:dyDescent="0.3">
      <c r="A10" s="224"/>
      <c r="B10" s="95" t="s">
        <v>122</v>
      </c>
      <c r="C10" s="147">
        <f>VLOOKUP(B10,'Daftar Peralatan'!$E$4:$F$23,2,FALSE)</f>
        <v>0</v>
      </c>
      <c r="D10" s="53"/>
      <c r="E10" s="53"/>
      <c r="F10" s="90">
        <f t="shared" si="3"/>
        <v>0</v>
      </c>
      <c r="G10" s="93">
        <f t="shared" si="0"/>
        <v>0</v>
      </c>
      <c r="H10" s="224"/>
      <c r="I10" s="95" t="s">
        <v>122</v>
      </c>
      <c r="J10" s="147">
        <f>VLOOKUP(I10,'Daftar Peralatan'!$E$4:$F$23,2,FALSE)</f>
        <v>0</v>
      </c>
      <c r="K10" s="53"/>
      <c r="L10" s="53"/>
      <c r="M10" s="90">
        <f t="shared" si="4"/>
        <v>0</v>
      </c>
      <c r="N10" s="93">
        <f t="shared" si="1"/>
        <v>0</v>
      </c>
      <c r="O10" s="224"/>
      <c r="P10" s="95" t="s">
        <v>122</v>
      </c>
      <c r="Q10" s="147">
        <f>VLOOKUP(P10,'Daftar Peralatan'!$E$4:$F$23,2,FALSE)</f>
        <v>0</v>
      </c>
      <c r="R10" s="53"/>
      <c r="S10" s="53"/>
      <c r="T10" s="90">
        <f t="shared" si="5"/>
        <v>0</v>
      </c>
      <c r="U10" s="93">
        <f t="shared" si="2"/>
        <v>0</v>
      </c>
      <c r="V10" s="224"/>
    </row>
    <row r="11" spans="1:24" ht="14.45" x14ac:dyDescent="0.3">
      <c r="A11" s="224"/>
      <c r="B11" s="95" t="s">
        <v>122</v>
      </c>
      <c r="C11" s="147">
        <f>VLOOKUP(B11,'Daftar Peralatan'!$E$4:$F$23,2,FALSE)</f>
        <v>0</v>
      </c>
      <c r="D11" s="53"/>
      <c r="E11" s="53"/>
      <c r="F11" s="90">
        <f t="shared" si="3"/>
        <v>0</v>
      </c>
      <c r="G11" s="93">
        <f t="shared" si="0"/>
        <v>0</v>
      </c>
      <c r="H11" s="224"/>
      <c r="I11" s="95" t="s">
        <v>122</v>
      </c>
      <c r="J11" s="147">
        <f>VLOOKUP(I11,'Daftar Peralatan'!$E$4:$F$23,2,FALSE)</f>
        <v>0</v>
      </c>
      <c r="K11" s="53"/>
      <c r="L11" s="53"/>
      <c r="M11" s="90">
        <f t="shared" si="4"/>
        <v>0</v>
      </c>
      <c r="N11" s="93">
        <f t="shared" si="1"/>
        <v>0</v>
      </c>
      <c r="O11" s="224"/>
      <c r="P11" s="95" t="s">
        <v>122</v>
      </c>
      <c r="Q11" s="147">
        <f>VLOOKUP(P11,'Daftar Peralatan'!$E$4:$F$23,2,FALSE)</f>
        <v>0</v>
      </c>
      <c r="R11" s="53"/>
      <c r="S11" s="53"/>
      <c r="T11" s="90">
        <f t="shared" si="5"/>
        <v>0</v>
      </c>
      <c r="U11" s="93">
        <f t="shared" si="2"/>
        <v>0</v>
      </c>
      <c r="V11" s="224"/>
      <c r="X11" s="257"/>
    </row>
    <row r="12" spans="1:24" ht="14.45" x14ac:dyDescent="0.3">
      <c r="A12" s="224"/>
      <c r="B12" s="95" t="s">
        <v>122</v>
      </c>
      <c r="C12" s="147">
        <f>VLOOKUP(B12,'Daftar Peralatan'!$E$4:$F$23,2,FALSE)</f>
        <v>0</v>
      </c>
      <c r="D12" s="53"/>
      <c r="E12" s="53"/>
      <c r="F12" s="90">
        <f t="shared" si="3"/>
        <v>0</v>
      </c>
      <c r="G12" s="93">
        <f t="shared" si="0"/>
        <v>0</v>
      </c>
      <c r="H12" s="224"/>
      <c r="I12" s="95" t="s">
        <v>122</v>
      </c>
      <c r="J12" s="147">
        <f>VLOOKUP(I12,'Daftar Peralatan'!$E$4:$F$23,2,FALSE)</f>
        <v>0</v>
      </c>
      <c r="K12" s="53"/>
      <c r="L12" s="53"/>
      <c r="M12" s="90">
        <f t="shared" si="4"/>
        <v>0</v>
      </c>
      <c r="N12" s="93">
        <f t="shared" si="1"/>
        <v>0</v>
      </c>
      <c r="O12" s="224"/>
      <c r="P12" s="95" t="s">
        <v>122</v>
      </c>
      <c r="Q12" s="147">
        <f>VLOOKUP(P12,'Daftar Peralatan'!$E$4:$F$23,2,FALSE)</f>
        <v>0</v>
      </c>
      <c r="R12" s="53"/>
      <c r="S12" s="53"/>
      <c r="T12" s="90">
        <f t="shared" si="5"/>
        <v>0</v>
      </c>
      <c r="U12" s="93">
        <f t="shared" si="2"/>
        <v>0</v>
      </c>
      <c r="V12" s="224"/>
    </row>
    <row r="13" spans="1:24" thickBot="1" x14ac:dyDescent="0.35">
      <c r="A13" s="224"/>
      <c r="B13" s="95" t="s">
        <v>122</v>
      </c>
      <c r="C13" s="147">
        <f>VLOOKUP(B13,'Daftar Peralatan'!$E$4:$F$23,2,FALSE)</f>
        <v>0</v>
      </c>
      <c r="D13" s="53"/>
      <c r="E13" s="53"/>
      <c r="F13" s="91">
        <f t="shared" si="3"/>
        <v>0</v>
      </c>
      <c r="G13" s="94">
        <f t="shared" si="0"/>
        <v>0</v>
      </c>
      <c r="H13" s="224"/>
      <c r="I13" s="95" t="s">
        <v>122</v>
      </c>
      <c r="J13" s="147">
        <f>VLOOKUP(I13,'Daftar Peralatan'!$E$4:$F$23,2,FALSE)</f>
        <v>0</v>
      </c>
      <c r="K13" s="53"/>
      <c r="L13" s="53"/>
      <c r="M13" s="91">
        <f t="shared" si="4"/>
        <v>0</v>
      </c>
      <c r="N13" s="94">
        <f t="shared" si="1"/>
        <v>0</v>
      </c>
      <c r="O13" s="224"/>
      <c r="P13" s="95" t="s">
        <v>122</v>
      </c>
      <c r="Q13" s="147">
        <f>VLOOKUP(P13,'Daftar Peralatan'!$E$4:$F$23,2,FALSE)</f>
        <v>0</v>
      </c>
      <c r="R13" s="53"/>
      <c r="S13" s="53"/>
      <c r="T13" s="91">
        <f t="shared" si="5"/>
        <v>0</v>
      </c>
      <c r="U13" s="94">
        <f t="shared" si="2"/>
        <v>0</v>
      </c>
      <c r="V13" s="224"/>
    </row>
    <row r="14" spans="1:24" ht="15.6" thickTop="1" thickBot="1" x14ac:dyDescent="0.35">
      <c r="A14" s="224"/>
      <c r="B14" s="332" t="s">
        <v>123</v>
      </c>
      <c r="C14" s="333"/>
      <c r="D14" s="333"/>
      <c r="E14" s="333"/>
      <c r="F14" s="92">
        <f>SUM(F4:F13)</f>
        <v>120</v>
      </c>
      <c r="G14" s="92">
        <f>SUM(G4:G13)</f>
        <v>960</v>
      </c>
      <c r="H14" s="224"/>
      <c r="I14" s="332" t="s">
        <v>123</v>
      </c>
      <c r="J14" s="333"/>
      <c r="K14" s="333"/>
      <c r="L14" s="333"/>
      <c r="M14" s="92">
        <f>SUM(M4:M13)</f>
        <v>10</v>
      </c>
      <c r="N14" s="92">
        <f>SUM(N4:N13)</f>
        <v>80</v>
      </c>
      <c r="O14" s="224"/>
      <c r="P14" s="332" t="s">
        <v>123</v>
      </c>
      <c r="Q14" s="333"/>
      <c r="R14" s="333"/>
      <c r="S14" s="333"/>
      <c r="T14" s="92">
        <f>SUM(T4:T13)</f>
        <v>0</v>
      </c>
      <c r="U14" s="92">
        <f>SUM(U4:U13)</f>
        <v>0</v>
      </c>
      <c r="V14" s="224"/>
    </row>
    <row r="15" spans="1:24" ht="14.45" x14ac:dyDescent="0.3">
      <c r="A15" s="224"/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</row>
    <row r="16" spans="1:24" ht="14.45" x14ac:dyDescent="0.3">
      <c r="A16" s="224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</row>
  </sheetData>
  <sheetProtection sheet="1" objects="1" scenarios="1" selectLockedCells="1"/>
  <mergeCells count="10">
    <mergeCell ref="B14:E14"/>
    <mergeCell ref="I14:L14"/>
    <mergeCell ref="P14:S14"/>
    <mergeCell ref="B1:U1"/>
    <mergeCell ref="B2:D2"/>
    <mergeCell ref="E2:G2"/>
    <mergeCell ref="I2:K2"/>
    <mergeCell ref="L2:N2"/>
    <mergeCell ref="P2:R2"/>
    <mergeCell ref="S2:U2"/>
  </mergeCells>
  <pageMargins left="0.25" right="0.25" top="0.75" bottom="0.75" header="0.3" footer="0.3"/>
  <pageSetup paperSize="9" scale="85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3" operator="equal" id="{639D83D2-AE93-48A1-9B9E-474806EB41B9}">
            <xm:f>'C:\Users\David\Documents\[140602 EnDev ID - Load and Tariff Calculation Tool DAVIDv1.xlsx]Appliance List'!#REF!</xm:f>
            <x14:dxf/>
          </x14:cfRule>
          <xm:sqref>B4:B13</xm:sqref>
        </x14:conditionalFormatting>
        <x14:conditionalFormatting xmlns:xm="http://schemas.microsoft.com/office/excel/2006/main">
          <x14:cfRule type="cellIs" priority="1" operator="equal" id="{D93B18F5-EBBC-4C34-8BAF-1078B36078F9}">
            <xm:f>'C:\Users\David\Documents\[140602 EnDev ID - Load and Tariff Calculation Tool DAVIDv1.xlsx]Appliance List'!#REF!</xm:f>
            <x14:dxf/>
          </x14:cfRule>
          <xm:sqref>P4:P13</xm:sqref>
        </x14:conditionalFormatting>
        <x14:conditionalFormatting xmlns:xm="http://schemas.microsoft.com/office/excel/2006/main">
          <x14:cfRule type="cellIs" priority="2" operator="equal" id="{BCE09414-F787-4658-BB81-B8486EBF8E31}">
            <xm:f>'C:\Users\David\Documents\[140602 EnDev ID - Load and Tariff Calculation Tool DAVIDv1.xlsx]Appliance List'!#REF!</xm:f>
            <x14:dxf/>
          </x14:cfRule>
          <xm:sqref>I4:I13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'Daftar Peralatan'!$E$4:$E$23</xm:f>
          </x14:formula1>
          <xm:sqref>B4:B13 I4:I13 P4:P13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U30"/>
  <sheetViews>
    <sheetView showZeros="0" view="pageBreakPreview" zoomScale="70" zoomScaleNormal="100" zoomScaleSheetLayoutView="70" workbookViewId="0">
      <selection activeCell="K2" sqref="K2:N2"/>
    </sheetView>
  </sheetViews>
  <sheetFormatPr defaultColWidth="9.140625" defaultRowHeight="15" x14ac:dyDescent="0.25"/>
  <cols>
    <col min="1" max="1" width="1.7109375" style="223" customWidth="1"/>
    <col min="2" max="2" width="20.28515625" style="223" customWidth="1"/>
    <col min="3" max="3" width="8.7109375" style="223" customWidth="1"/>
    <col min="4" max="4" width="6.42578125" style="223" customWidth="1"/>
    <col min="5" max="5" width="6.7109375" style="223" customWidth="1"/>
    <col min="6" max="6" width="7.140625" style="223" customWidth="1"/>
    <col min="7" max="7" width="8.140625" style="223" customWidth="1"/>
    <col min="8" max="8" width="1.7109375" style="223" customWidth="1"/>
    <col min="9" max="9" width="25.140625" style="223" customWidth="1"/>
    <col min="10" max="10" width="9.140625" style="223"/>
    <col min="11" max="11" width="5.85546875" style="223" customWidth="1"/>
    <col min="12" max="12" width="7.28515625" style="223" customWidth="1"/>
    <col min="13" max="13" width="7.42578125" style="223" customWidth="1"/>
    <col min="14" max="14" width="7.85546875" style="223" customWidth="1"/>
    <col min="15" max="15" width="1.5703125" style="223" customWidth="1"/>
    <col min="16" max="16384" width="9.140625" style="223"/>
  </cols>
  <sheetData>
    <row r="1" spans="1:21" ht="89.25" customHeight="1" thickBot="1" x14ac:dyDescent="0.3">
      <c r="A1" s="222"/>
      <c r="B1" s="342" t="s">
        <v>130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85"/>
      <c r="Q1" s="85"/>
      <c r="R1" s="85"/>
      <c r="S1" s="85"/>
      <c r="T1" s="85"/>
      <c r="U1" s="85"/>
    </row>
    <row r="2" spans="1:21" ht="25.9" customHeight="1" thickBot="1" x14ac:dyDescent="0.3">
      <c r="A2" s="222"/>
      <c r="B2" s="343" t="s">
        <v>131</v>
      </c>
      <c r="C2" s="344"/>
      <c r="D2" s="337" t="s">
        <v>133</v>
      </c>
      <c r="E2" s="338"/>
      <c r="F2" s="338"/>
      <c r="G2" s="339"/>
      <c r="H2" s="222"/>
      <c r="I2" s="343" t="s">
        <v>131</v>
      </c>
      <c r="J2" s="344"/>
      <c r="K2" s="337" t="s">
        <v>134</v>
      </c>
      <c r="L2" s="338"/>
      <c r="M2" s="338"/>
      <c r="N2" s="339"/>
      <c r="O2" s="222"/>
    </row>
    <row r="3" spans="1:21" ht="25.5" x14ac:dyDescent="0.25">
      <c r="A3" s="222"/>
      <c r="B3" s="96" t="s">
        <v>124</v>
      </c>
      <c r="C3" s="97" t="s">
        <v>19</v>
      </c>
      <c r="D3" s="97" t="s">
        <v>120</v>
      </c>
      <c r="E3" s="98" t="s">
        <v>121</v>
      </c>
      <c r="F3" s="98" t="s">
        <v>20</v>
      </c>
      <c r="G3" s="99" t="s">
        <v>21</v>
      </c>
      <c r="H3" s="222"/>
      <c r="I3" s="96" t="s">
        <v>124</v>
      </c>
      <c r="J3" s="97" t="s">
        <v>19</v>
      </c>
      <c r="K3" s="97" t="s">
        <v>120</v>
      </c>
      <c r="L3" s="98" t="s">
        <v>121</v>
      </c>
      <c r="M3" s="98" t="s">
        <v>20</v>
      </c>
      <c r="N3" s="99" t="s">
        <v>21</v>
      </c>
      <c r="O3" s="222"/>
    </row>
    <row r="4" spans="1:21" x14ac:dyDescent="0.25">
      <c r="A4" s="222"/>
      <c r="B4" s="54" t="s">
        <v>198</v>
      </c>
      <c r="C4" s="149">
        <f>VLOOKUP(B4,'Daftar Peralatan'!$H$4:$I$39,2,FALSE)</f>
        <v>120</v>
      </c>
      <c r="D4" s="53">
        <v>3</v>
      </c>
      <c r="E4" s="53">
        <v>2</v>
      </c>
      <c r="F4" s="29">
        <f>C4*D4</f>
        <v>360</v>
      </c>
      <c r="G4" s="377">
        <f>E4*F4</f>
        <v>720</v>
      </c>
      <c r="H4" s="222"/>
      <c r="I4" s="54" t="s">
        <v>188</v>
      </c>
      <c r="J4" s="149">
        <f>VLOOKUP(I4,'Daftar Peralatan'!$H$4:$I$39,2,FALSE)</f>
        <v>200</v>
      </c>
      <c r="K4" s="53">
        <v>1</v>
      </c>
      <c r="L4" s="53">
        <v>24</v>
      </c>
      <c r="M4" s="29">
        <f>J4*K4</f>
        <v>200</v>
      </c>
      <c r="N4" s="377">
        <f>L4*M4</f>
        <v>4800</v>
      </c>
      <c r="O4" s="222"/>
    </row>
    <row r="5" spans="1:21" x14ac:dyDescent="0.25">
      <c r="A5" s="222"/>
      <c r="B5" s="54" t="s">
        <v>122</v>
      </c>
      <c r="C5" s="149">
        <f>VLOOKUP(B5,'Daftar Peralatan'!$H$4:$I$39,2,FALSE)</f>
        <v>0</v>
      </c>
      <c r="D5" s="53"/>
      <c r="E5" s="53"/>
      <c r="F5" s="29">
        <f>C5*D5</f>
        <v>0</v>
      </c>
      <c r="G5" s="377">
        <f t="shared" ref="G5:G13" si="0">E5*F5</f>
        <v>0</v>
      </c>
      <c r="H5" s="222"/>
      <c r="I5" s="54" t="s">
        <v>122</v>
      </c>
      <c r="J5" s="149">
        <f>VLOOKUP(I5,'Daftar Peralatan'!$H$4:$I$39,2,FALSE)</f>
        <v>0</v>
      </c>
      <c r="K5" s="53">
        <v>0</v>
      </c>
      <c r="L5" s="53">
        <v>0</v>
      </c>
      <c r="M5" s="29">
        <f>J5*K5</f>
        <v>0</v>
      </c>
      <c r="N5" s="377">
        <f t="shared" ref="N5:N13" si="1">L5*M5</f>
        <v>0</v>
      </c>
      <c r="O5" s="222"/>
    </row>
    <row r="6" spans="1:21" x14ac:dyDescent="0.25">
      <c r="A6" s="222"/>
      <c r="B6" s="54" t="s">
        <v>122</v>
      </c>
      <c r="C6" s="149">
        <f>VLOOKUP(B6,'Daftar Peralatan'!$H$4:$I$39,2,FALSE)</f>
        <v>0</v>
      </c>
      <c r="D6" s="53"/>
      <c r="E6" s="53"/>
      <c r="F6" s="29">
        <f>C6*D6</f>
        <v>0</v>
      </c>
      <c r="G6" s="377">
        <f t="shared" si="0"/>
        <v>0</v>
      </c>
      <c r="H6" s="222"/>
      <c r="I6" s="54" t="s">
        <v>122</v>
      </c>
      <c r="J6" s="149">
        <f>VLOOKUP(I6,'Daftar Peralatan'!$H$4:$I$39,2,FALSE)</f>
        <v>0</v>
      </c>
      <c r="K6" s="53">
        <v>0</v>
      </c>
      <c r="L6" s="53">
        <v>0</v>
      </c>
      <c r="M6" s="29">
        <f>J6*K6</f>
        <v>0</v>
      </c>
      <c r="N6" s="377">
        <f t="shared" si="1"/>
        <v>0</v>
      </c>
      <c r="O6" s="222"/>
    </row>
    <row r="7" spans="1:21" x14ac:dyDescent="0.25">
      <c r="A7" s="222"/>
      <c r="B7" s="54" t="s">
        <v>122</v>
      </c>
      <c r="C7" s="149">
        <f>VLOOKUP(B7,'Daftar Peralatan'!$H$4:$I$39,2,FALSE)</f>
        <v>0</v>
      </c>
      <c r="D7" s="53"/>
      <c r="E7" s="53"/>
      <c r="F7" s="29">
        <f>C7*D7</f>
        <v>0</v>
      </c>
      <c r="G7" s="377">
        <f t="shared" si="0"/>
        <v>0</v>
      </c>
      <c r="H7" s="222"/>
      <c r="I7" s="54" t="s">
        <v>122</v>
      </c>
      <c r="J7" s="149">
        <f>VLOOKUP(I7,'Daftar Peralatan'!$H$4:$I$39,2,FALSE)</f>
        <v>0</v>
      </c>
      <c r="K7" s="53"/>
      <c r="L7" s="53"/>
      <c r="M7" s="29">
        <f>J7*K7</f>
        <v>0</v>
      </c>
      <c r="N7" s="377">
        <f t="shared" si="1"/>
        <v>0</v>
      </c>
      <c r="O7" s="222"/>
    </row>
    <row r="8" spans="1:21" x14ac:dyDescent="0.25">
      <c r="A8" s="222"/>
      <c r="B8" s="54" t="s">
        <v>122</v>
      </c>
      <c r="C8" s="149">
        <f>VLOOKUP(B8,'Daftar Peralatan'!$H$4:$I$39,2,FALSE)</f>
        <v>0</v>
      </c>
      <c r="D8" s="53"/>
      <c r="E8" s="53"/>
      <c r="F8" s="29">
        <f t="shared" ref="F8:F13" si="2">C8*D8</f>
        <v>0</v>
      </c>
      <c r="G8" s="377">
        <f t="shared" si="0"/>
        <v>0</v>
      </c>
      <c r="H8" s="222"/>
      <c r="I8" s="54" t="s">
        <v>122</v>
      </c>
      <c r="J8" s="149">
        <f>VLOOKUP(I8,'Daftar Peralatan'!$H$4:$I$39,2,FALSE)</f>
        <v>0</v>
      </c>
      <c r="K8" s="53"/>
      <c r="L8" s="53"/>
      <c r="M8" s="29">
        <f t="shared" ref="M8:M13" si="3">J8*K8</f>
        <v>0</v>
      </c>
      <c r="N8" s="377">
        <f t="shared" si="1"/>
        <v>0</v>
      </c>
      <c r="O8" s="222"/>
    </row>
    <row r="9" spans="1:21" x14ac:dyDescent="0.25">
      <c r="A9" s="222"/>
      <c r="B9" s="54" t="s">
        <v>122</v>
      </c>
      <c r="C9" s="149">
        <f>VLOOKUP(B9,'Daftar Peralatan'!$H$4:$I$39,2,FALSE)</f>
        <v>0</v>
      </c>
      <c r="D9" s="53"/>
      <c r="E9" s="53"/>
      <c r="F9" s="29">
        <f t="shared" si="2"/>
        <v>0</v>
      </c>
      <c r="G9" s="377">
        <f t="shared" si="0"/>
        <v>0</v>
      </c>
      <c r="H9" s="222"/>
      <c r="I9" s="54" t="s">
        <v>122</v>
      </c>
      <c r="J9" s="149">
        <f>VLOOKUP(I9,'Daftar Peralatan'!$H$4:$I$39,2,FALSE)</f>
        <v>0</v>
      </c>
      <c r="K9" s="53"/>
      <c r="L9" s="53"/>
      <c r="M9" s="29">
        <f t="shared" si="3"/>
        <v>0</v>
      </c>
      <c r="N9" s="377">
        <f t="shared" si="1"/>
        <v>0</v>
      </c>
      <c r="O9" s="222"/>
    </row>
    <row r="10" spans="1:21" x14ac:dyDescent="0.25">
      <c r="A10" s="222"/>
      <c r="B10" s="54" t="s">
        <v>122</v>
      </c>
      <c r="C10" s="149">
        <f>VLOOKUP(B10,'Daftar Peralatan'!$H$4:$I$39,2,FALSE)</f>
        <v>0</v>
      </c>
      <c r="D10" s="53"/>
      <c r="E10" s="53"/>
      <c r="F10" s="29">
        <f t="shared" si="2"/>
        <v>0</v>
      </c>
      <c r="G10" s="377">
        <f t="shared" si="0"/>
        <v>0</v>
      </c>
      <c r="H10" s="222"/>
      <c r="I10" s="54" t="s">
        <v>122</v>
      </c>
      <c r="J10" s="149">
        <f>VLOOKUP(I10,'Daftar Peralatan'!$H$4:$I$39,2,FALSE)</f>
        <v>0</v>
      </c>
      <c r="K10" s="53"/>
      <c r="L10" s="53"/>
      <c r="M10" s="29">
        <f t="shared" si="3"/>
        <v>0</v>
      </c>
      <c r="N10" s="377">
        <f t="shared" si="1"/>
        <v>0</v>
      </c>
      <c r="O10" s="222"/>
    </row>
    <row r="11" spans="1:21" x14ac:dyDescent="0.25">
      <c r="A11" s="222"/>
      <c r="B11" s="54" t="s">
        <v>122</v>
      </c>
      <c r="C11" s="149">
        <f>VLOOKUP(B11,'Daftar Peralatan'!$H$4:$I$39,2,FALSE)</f>
        <v>0</v>
      </c>
      <c r="D11" s="53"/>
      <c r="E11" s="53"/>
      <c r="F11" s="29">
        <f t="shared" si="2"/>
        <v>0</v>
      </c>
      <c r="G11" s="377">
        <f t="shared" si="0"/>
        <v>0</v>
      </c>
      <c r="H11" s="222"/>
      <c r="I11" s="54" t="s">
        <v>122</v>
      </c>
      <c r="J11" s="149">
        <f>VLOOKUP(I11,'Daftar Peralatan'!$H$4:$I$39,2,FALSE)</f>
        <v>0</v>
      </c>
      <c r="K11" s="53"/>
      <c r="L11" s="53"/>
      <c r="M11" s="29">
        <f t="shared" si="3"/>
        <v>0</v>
      </c>
      <c r="N11" s="377">
        <f t="shared" si="1"/>
        <v>0</v>
      </c>
      <c r="O11" s="222"/>
    </row>
    <row r="12" spans="1:21" x14ac:dyDescent="0.25">
      <c r="A12" s="222"/>
      <c r="B12" s="54" t="s">
        <v>122</v>
      </c>
      <c r="C12" s="149">
        <f>VLOOKUP(B12,'Daftar Peralatan'!$H$4:$I$39,2,FALSE)</f>
        <v>0</v>
      </c>
      <c r="D12" s="53"/>
      <c r="E12" s="53"/>
      <c r="F12" s="29">
        <f t="shared" si="2"/>
        <v>0</v>
      </c>
      <c r="G12" s="377">
        <f t="shared" si="0"/>
        <v>0</v>
      </c>
      <c r="H12" s="222"/>
      <c r="I12" s="54" t="s">
        <v>122</v>
      </c>
      <c r="J12" s="149">
        <f>VLOOKUP(I12,'Daftar Peralatan'!$H$4:$I$39,2,FALSE)</f>
        <v>0</v>
      </c>
      <c r="K12" s="53"/>
      <c r="L12" s="53"/>
      <c r="M12" s="29">
        <f t="shared" si="3"/>
        <v>0</v>
      </c>
      <c r="N12" s="377">
        <f t="shared" si="1"/>
        <v>0</v>
      </c>
      <c r="O12" s="222"/>
    </row>
    <row r="13" spans="1:21" ht="15.75" thickBot="1" x14ac:dyDescent="0.3">
      <c r="A13" s="222"/>
      <c r="B13" s="54" t="s">
        <v>122</v>
      </c>
      <c r="C13" s="149">
        <f>VLOOKUP(B13,'Daftar Peralatan'!$H$4:$I$39,2,FALSE)</f>
        <v>0</v>
      </c>
      <c r="D13" s="53"/>
      <c r="E13" s="53"/>
      <c r="F13" s="100">
        <f t="shared" si="2"/>
        <v>0</v>
      </c>
      <c r="G13" s="378">
        <f t="shared" si="0"/>
        <v>0</v>
      </c>
      <c r="H13" s="222"/>
      <c r="I13" s="54" t="s">
        <v>122</v>
      </c>
      <c r="J13" s="149">
        <f>VLOOKUP(I13,'Daftar Peralatan'!$H$4:$I$39,2,FALSE)</f>
        <v>0</v>
      </c>
      <c r="K13" s="53"/>
      <c r="L13" s="53"/>
      <c r="M13" s="100">
        <f t="shared" si="3"/>
        <v>0</v>
      </c>
      <c r="N13" s="378">
        <f t="shared" si="1"/>
        <v>0</v>
      </c>
      <c r="O13" s="222"/>
    </row>
    <row r="14" spans="1:21" ht="15.75" thickBot="1" x14ac:dyDescent="0.3">
      <c r="A14" s="222"/>
      <c r="B14" s="340" t="s">
        <v>123</v>
      </c>
      <c r="C14" s="341"/>
      <c r="D14" s="341"/>
      <c r="E14" s="341"/>
      <c r="F14" s="379">
        <f>SUM(F4:F13)</f>
        <v>360</v>
      </c>
      <c r="G14" s="380">
        <f>SUM(G4:G13)</f>
        <v>720</v>
      </c>
      <c r="H14" s="222"/>
      <c r="I14" s="340" t="s">
        <v>123</v>
      </c>
      <c r="J14" s="341"/>
      <c r="K14" s="341"/>
      <c r="L14" s="341"/>
      <c r="M14" s="379">
        <f>SUM(M4:M13)</f>
        <v>200</v>
      </c>
      <c r="N14" s="380">
        <f>SUM(N4:N13)</f>
        <v>4800</v>
      </c>
      <c r="O14" s="222"/>
    </row>
    <row r="15" spans="1:21" ht="15.75" thickBot="1" x14ac:dyDescent="0.3">
      <c r="A15" s="222"/>
      <c r="B15" s="101"/>
      <c r="C15" s="101"/>
      <c r="D15" s="101"/>
      <c r="E15" s="101"/>
      <c r="F15" s="101"/>
      <c r="G15" s="101"/>
      <c r="H15" s="222"/>
      <c r="I15" s="101"/>
      <c r="J15" s="101"/>
      <c r="K15" s="101"/>
      <c r="L15" s="101"/>
      <c r="M15" s="101"/>
      <c r="N15" s="101"/>
      <c r="O15" s="222"/>
    </row>
    <row r="16" spans="1:21" ht="26.45" customHeight="1" thickBot="1" x14ac:dyDescent="0.3">
      <c r="A16" s="222"/>
      <c r="B16" s="343" t="s">
        <v>131</v>
      </c>
      <c r="C16" s="344"/>
      <c r="D16" s="337" t="s">
        <v>129</v>
      </c>
      <c r="E16" s="338"/>
      <c r="F16" s="338"/>
      <c r="G16" s="339"/>
      <c r="H16" s="222"/>
      <c r="I16" s="343" t="s">
        <v>131</v>
      </c>
      <c r="J16" s="344"/>
      <c r="K16" s="337" t="s">
        <v>132</v>
      </c>
      <c r="L16" s="338"/>
      <c r="M16" s="338"/>
      <c r="N16" s="339"/>
      <c r="O16" s="222"/>
    </row>
    <row r="17" spans="1:15" ht="25.5" x14ac:dyDescent="0.25">
      <c r="A17" s="222"/>
      <c r="B17" s="96" t="s">
        <v>124</v>
      </c>
      <c r="C17" s="97" t="s">
        <v>19</v>
      </c>
      <c r="D17" s="97" t="s">
        <v>120</v>
      </c>
      <c r="E17" s="98" t="s">
        <v>121</v>
      </c>
      <c r="F17" s="98" t="s">
        <v>20</v>
      </c>
      <c r="G17" s="99" t="s">
        <v>21</v>
      </c>
      <c r="H17" s="222"/>
      <c r="I17" s="96" t="s">
        <v>124</v>
      </c>
      <c r="J17" s="97" t="s">
        <v>19</v>
      </c>
      <c r="K17" s="97" t="s">
        <v>120</v>
      </c>
      <c r="L17" s="98" t="s">
        <v>121</v>
      </c>
      <c r="M17" s="98" t="s">
        <v>20</v>
      </c>
      <c r="N17" s="99" t="s">
        <v>21</v>
      </c>
      <c r="O17" s="222"/>
    </row>
    <row r="18" spans="1:15" x14ac:dyDescent="0.25">
      <c r="A18" s="222"/>
      <c r="B18" s="54" t="s">
        <v>122</v>
      </c>
      <c r="C18" s="149">
        <f>VLOOKUP(B18,'Daftar Peralatan'!$H$4:$I$39,2,FALSE)</f>
        <v>0</v>
      </c>
      <c r="D18" s="53"/>
      <c r="E18" s="53"/>
      <c r="F18" s="29">
        <f>C18*D18</f>
        <v>0</v>
      </c>
      <c r="G18" s="377">
        <f>E18*F18</f>
        <v>0</v>
      </c>
      <c r="H18" s="222"/>
      <c r="I18" s="54" t="s">
        <v>122</v>
      </c>
      <c r="J18" s="149">
        <f>VLOOKUP(I18,'Daftar Peralatan'!$H$4:$I$39,2,FALSE)</f>
        <v>0</v>
      </c>
      <c r="K18" s="53"/>
      <c r="L18" s="53"/>
      <c r="M18" s="29">
        <f>J18*K18</f>
        <v>0</v>
      </c>
      <c r="N18" s="377">
        <f>L18*M18</f>
        <v>0</v>
      </c>
      <c r="O18" s="222"/>
    </row>
    <row r="19" spans="1:15" x14ac:dyDescent="0.25">
      <c r="A19" s="222"/>
      <c r="B19" s="54" t="s">
        <v>122</v>
      </c>
      <c r="C19" s="149">
        <f>VLOOKUP(B19,'Daftar Peralatan'!$H$4:$I$39,2,FALSE)</f>
        <v>0</v>
      </c>
      <c r="D19" s="53">
        <v>0</v>
      </c>
      <c r="E19" s="53">
        <v>0</v>
      </c>
      <c r="F19" s="29">
        <f>C19*D19</f>
        <v>0</v>
      </c>
      <c r="G19" s="377">
        <f t="shared" ref="G19:G27" si="4">E19*F19</f>
        <v>0</v>
      </c>
      <c r="H19" s="222"/>
      <c r="I19" s="54" t="s">
        <v>122</v>
      </c>
      <c r="J19" s="149">
        <f>VLOOKUP(I19,'Daftar Peralatan'!$H$4:$I$39,2,FALSE)</f>
        <v>0</v>
      </c>
      <c r="K19" s="53"/>
      <c r="L19" s="53"/>
      <c r="M19" s="29">
        <f>J19*K19</f>
        <v>0</v>
      </c>
      <c r="N19" s="377">
        <f t="shared" ref="N19:N27" si="5">L19*M19</f>
        <v>0</v>
      </c>
      <c r="O19" s="222"/>
    </row>
    <row r="20" spans="1:15" x14ac:dyDescent="0.25">
      <c r="A20" s="222"/>
      <c r="B20" s="54" t="s">
        <v>122</v>
      </c>
      <c r="C20" s="149">
        <f>VLOOKUP(B20,'Daftar Peralatan'!$H$4:$I$39,2,FALSE)</f>
        <v>0</v>
      </c>
      <c r="D20" s="53">
        <v>0</v>
      </c>
      <c r="E20" s="53">
        <v>0</v>
      </c>
      <c r="F20" s="29">
        <f>C20*D20</f>
        <v>0</v>
      </c>
      <c r="G20" s="377">
        <f t="shared" si="4"/>
        <v>0</v>
      </c>
      <c r="H20" s="222"/>
      <c r="I20" s="54" t="s">
        <v>122</v>
      </c>
      <c r="J20" s="149">
        <f>VLOOKUP(I20,'Daftar Peralatan'!$H$4:$I$39,2,FALSE)</f>
        <v>0</v>
      </c>
      <c r="K20" s="53">
        <v>0</v>
      </c>
      <c r="L20" s="53">
        <v>0</v>
      </c>
      <c r="M20" s="29">
        <f>J20*K20</f>
        <v>0</v>
      </c>
      <c r="N20" s="377">
        <f t="shared" si="5"/>
        <v>0</v>
      </c>
      <c r="O20" s="222"/>
    </row>
    <row r="21" spans="1:15" x14ac:dyDescent="0.25">
      <c r="A21" s="222"/>
      <c r="B21" s="54" t="s">
        <v>122</v>
      </c>
      <c r="C21" s="149">
        <f>VLOOKUP(B21,'Daftar Peralatan'!$H$4:$I$39,2,FALSE)</f>
        <v>0</v>
      </c>
      <c r="D21" s="53"/>
      <c r="E21" s="53"/>
      <c r="F21" s="29">
        <f>C21*D21</f>
        <v>0</v>
      </c>
      <c r="G21" s="377">
        <f t="shared" si="4"/>
        <v>0</v>
      </c>
      <c r="H21" s="222"/>
      <c r="I21" s="54" t="s">
        <v>122</v>
      </c>
      <c r="J21" s="149">
        <f>VLOOKUP(I21,'Daftar Peralatan'!$H$4:$I$39,2,FALSE)</f>
        <v>0</v>
      </c>
      <c r="K21" s="53"/>
      <c r="L21" s="53"/>
      <c r="M21" s="29">
        <f>J21*K21</f>
        <v>0</v>
      </c>
      <c r="N21" s="377">
        <f t="shared" si="5"/>
        <v>0</v>
      </c>
      <c r="O21" s="222"/>
    </row>
    <row r="22" spans="1:15" x14ac:dyDescent="0.25">
      <c r="A22" s="222"/>
      <c r="B22" s="54" t="s">
        <v>122</v>
      </c>
      <c r="C22" s="149">
        <f>VLOOKUP(B22,'Daftar Peralatan'!$H$4:$I$39,2,FALSE)</f>
        <v>0</v>
      </c>
      <c r="D22" s="53"/>
      <c r="E22" s="53"/>
      <c r="F22" s="29">
        <f t="shared" ref="F22:F27" si="6">C22*D22</f>
        <v>0</v>
      </c>
      <c r="G22" s="377">
        <f t="shared" si="4"/>
        <v>0</v>
      </c>
      <c r="H22" s="222"/>
      <c r="I22" s="54" t="s">
        <v>122</v>
      </c>
      <c r="J22" s="149">
        <f>VLOOKUP(I22,'Daftar Peralatan'!$H$4:$I$39,2,FALSE)</f>
        <v>0</v>
      </c>
      <c r="K22" s="53"/>
      <c r="L22" s="53"/>
      <c r="M22" s="29">
        <f t="shared" ref="M22:M27" si="7">J22*K22</f>
        <v>0</v>
      </c>
      <c r="N22" s="377">
        <f t="shared" si="5"/>
        <v>0</v>
      </c>
      <c r="O22" s="222"/>
    </row>
    <row r="23" spans="1:15" x14ac:dyDescent="0.25">
      <c r="A23" s="222"/>
      <c r="B23" s="54" t="s">
        <v>122</v>
      </c>
      <c r="C23" s="149">
        <f>VLOOKUP(B23,'Daftar Peralatan'!$H$4:$I$39,2,FALSE)</f>
        <v>0</v>
      </c>
      <c r="D23" s="53"/>
      <c r="E23" s="53"/>
      <c r="F23" s="29">
        <f t="shared" si="6"/>
        <v>0</v>
      </c>
      <c r="G23" s="377">
        <f t="shared" si="4"/>
        <v>0</v>
      </c>
      <c r="H23" s="222"/>
      <c r="I23" s="54" t="s">
        <v>122</v>
      </c>
      <c r="J23" s="149">
        <f>VLOOKUP(I23,'Daftar Peralatan'!$H$4:$I$39,2,FALSE)</f>
        <v>0</v>
      </c>
      <c r="K23" s="53"/>
      <c r="L23" s="53"/>
      <c r="M23" s="29">
        <f t="shared" si="7"/>
        <v>0</v>
      </c>
      <c r="N23" s="377">
        <f t="shared" si="5"/>
        <v>0</v>
      </c>
      <c r="O23" s="222"/>
    </row>
    <row r="24" spans="1:15" x14ac:dyDescent="0.25">
      <c r="A24" s="222"/>
      <c r="B24" s="54" t="s">
        <v>122</v>
      </c>
      <c r="C24" s="149">
        <f>VLOOKUP(B24,'Daftar Peralatan'!$H$4:$I$39,2,FALSE)</f>
        <v>0</v>
      </c>
      <c r="D24" s="53"/>
      <c r="E24" s="53"/>
      <c r="F24" s="29">
        <f t="shared" si="6"/>
        <v>0</v>
      </c>
      <c r="G24" s="377">
        <f t="shared" si="4"/>
        <v>0</v>
      </c>
      <c r="H24" s="222"/>
      <c r="I24" s="54" t="s">
        <v>122</v>
      </c>
      <c r="J24" s="149">
        <f>VLOOKUP(I24,'Daftar Peralatan'!$H$4:$I$39,2,FALSE)</f>
        <v>0</v>
      </c>
      <c r="K24" s="53"/>
      <c r="L24" s="53"/>
      <c r="M24" s="29">
        <f t="shared" si="7"/>
        <v>0</v>
      </c>
      <c r="N24" s="377">
        <f t="shared" si="5"/>
        <v>0</v>
      </c>
      <c r="O24" s="222"/>
    </row>
    <row r="25" spans="1:15" x14ac:dyDescent="0.25">
      <c r="A25" s="222"/>
      <c r="B25" s="54" t="s">
        <v>122</v>
      </c>
      <c r="C25" s="149">
        <f>VLOOKUP(B25,'Daftar Peralatan'!$H$4:$I$39,2,FALSE)</f>
        <v>0</v>
      </c>
      <c r="D25" s="53"/>
      <c r="E25" s="53"/>
      <c r="F25" s="29">
        <f t="shared" si="6"/>
        <v>0</v>
      </c>
      <c r="G25" s="377">
        <f t="shared" si="4"/>
        <v>0</v>
      </c>
      <c r="H25" s="222"/>
      <c r="I25" s="54" t="s">
        <v>122</v>
      </c>
      <c r="J25" s="149">
        <f>VLOOKUP(I25,'Daftar Peralatan'!$H$4:$I$39,2,FALSE)</f>
        <v>0</v>
      </c>
      <c r="K25" s="53"/>
      <c r="L25" s="53"/>
      <c r="M25" s="29">
        <f t="shared" si="7"/>
        <v>0</v>
      </c>
      <c r="N25" s="377">
        <f t="shared" si="5"/>
        <v>0</v>
      </c>
      <c r="O25" s="222"/>
    </row>
    <row r="26" spans="1:15" x14ac:dyDescent="0.25">
      <c r="A26" s="222"/>
      <c r="B26" s="54" t="s">
        <v>122</v>
      </c>
      <c r="C26" s="149">
        <f>VLOOKUP(B26,'Daftar Peralatan'!$H$4:$I$39,2,FALSE)</f>
        <v>0</v>
      </c>
      <c r="D26" s="53"/>
      <c r="E26" s="53"/>
      <c r="F26" s="29">
        <f t="shared" si="6"/>
        <v>0</v>
      </c>
      <c r="G26" s="377">
        <f t="shared" si="4"/>
        <v>0</v>
      </c>
      <c r="H26" s="222"/>
      <c r="I26" s="54" t="s">
        <v>122</v>
      </c>
      <c r="J26" s="149">
        <f>VLOOKUP(I26,'Daftar Peralatan'!$H$4:$I$39,2,FALSE)</f>
        <v>0</v>
      </c>
      <c r="K26" s="53"/>
      <c r="L26" s="53"/>
      <c r="M26" s="29">
        <f t="shared" si="7"/>
        <v>0</v>
      </c>
      <c r="N26" s="377">
        <f t="shared" si="5"/>
        <v>0</v>
      </c>
      <c r="O26" s="222"/>
    </row>
    <row r="27" spans="1:15" ht="15.75" thickBot="1" x14ac:dyDescent="0.3">
      <c r="A27" s="222"/>
      <c r="B27" s="54" t="s">
        <v>122</v>
      </c>
      <c r="C27" s="149">
        <f>VLOOKUP(B27,'Daftar Peralatan'!$H$4:$I$39,2,FALSE)</f>
        <v>0</v>
      </c>
      <c r="D27" s="53"/>
      <c r="E27" s="53"/>
      <c r="F27" s="100">
        <f t="shared" si="6"/>
        <v>0</v>
      </c>
      <c r="G27" s="378">
        <f t="shared" si="4"/>
        <v>0</v>
      </c>
      <c r="H27" s="222"/>
      <c r="I27" s="54" t="s">
        <v>122</v>
      </c>
      <c r="J27" s="149">
        <f>VLOOKUP(I27,'Daftar Peralatan'!$H$4:$I$39,2,FALSE)</f>
        <v>0</v>
      </c>
      <c r="K27" s="53"/>
      <c r="L27" s="53"/>
      <c r="M27" s="100">
        <f t="shared" si="7"/>
        <v>0</v>
      </c>
      <c r="N27" s="378">
        <f t="shared" si="5"/>
        <v>0</v>
      </c>
      <c r="O27" s="222"/>
    </row>
    <row r="28" spans="1:15" ht="15.75" thickBot="1" x14ac:dyDescent="0.3">
      <c r="A28" s="222"/>
      <c r="B28" s="340" t="s">
        <v>123</v>
      </c>
      <c r="C28" s="341"/>
      <c r="D28" s="341"/>
      <c r="E28" s="341"/>
      <c r="F28" s="379">
        <f>SUM(F18:F27)</f>
        <v>0</v>
      </c>
      <c r="G28" s="380">
        <f>SUM(G18:G27)</f>
        <v>0</v>
      </c>
      <c r="H28" s="222"/>
      <c r="I28" s="340" t="s">
        <v>123</v>
      </c>
      <c r="J28" s="341"/>
      <c r="K28" s="341"/>
      <c r="L28" s="341"/>
      <c r="M28" s="379">
        <f>SUM(M18:M27)</f>
        <v>0</v>
      </c>
      <c r="N28" s="380">
        <f>SUM(N18:N27)</f>
        <v>0</v>
      </c>
      <c r="O28" s="222"/>
    </row>
    <row r="29" spans="1:15" x14ac:dyDescent="0.25">
      <c r="A29" s="222"/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</row>
    <row r="30" spans="1:15" x14ac:dyDescent="0.25">
      <c r="A30" s="222"/>
      <c r="B30" s="222"/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</row>
  </sheetData>
  <sheetProtection sheet="1" objects="1" scenarios="1" selectLockedCells="1"/>
  <mergeCells count="13">
    <mergeCell ref="B28:E28"/>
    <mergeCell ref="I28:L28"/>
    <mergeCell ref="B1:O1"/>
    <mergeCell ref="B2:C2"/>
    <mergeCell ref="I2:J2"/>
    <mergeCell ref="B16:C16"/>
    <mergeCell ref="I16:J16"/>
    <mergeCell ref="B14:E14"/>
    <mergeCell ref="I14:L14"/>
    <mergeCell ref="D2:G2"/>
    <mergeCell ref="K2:N2"/>
    <mergeCell ref="D16:G16"/>
    <mergeCell ref="K16:N16"/>
  </mergeCells>
  <pageMargins left="0.25" right="0.25" top="0.75" bottom="0.75" header="0.3" footer="0.3"/>
  <pageSetup scale="9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3" operator="equal" id="{F16D253B-E390-4656-9B96-1F64F0324B1A}">
            <xm:f>'C:\Users\David\Documents\[140602 EnDev ID - Load and Tariff Calculation Tool DAVIDv1.xlsx]Appliance List'!#REF!</xm:f>
            <x14:dxf/>
          </x14:cfRule>
          <xm:sqref>B4:B13</xm:sqref>
        </x14:conditionalFormatting>
        <x14:conditionalFormatting xmlns:xm="http://schemas.microsoft.com/office/excel/2006/main">
          <x14:cfRule type="cellIs" priority="3" operator="equal" id="{2124BB72-D621-42B7-A679-B70A1AA27DEF}">
            <xm:f>'C:\Users\David\Documents\[140602 EnDev ID - Load and Tariff Calculation Tool DAVIDv1.xlsx]Appliance List'!#REF!</xm:f>
            <x14:dxf/>
          </x14:cfRule>
          <xm:sqref>I4:I13</xm:sqref>
        </x14:conditionalFormatting>
        <x14:conditionalFormatting xmlns:xm="http://schemas.microsoft.com/office/excel/2006/main">
          <x14:cfRule type="cellIs" priority="1" operator="equal" id="{9C4E5380-B420-466A-9041-EE94A3990C26}">
            <xm:f>'C:\Users\David\Documents\[140602 EnDev ID - Load and Tariff Calculation Tool DAVIDv1.xlsx]Appliance List'!#REF!</xm:f>
            <x14:dxf/>
          </x14:cfRule>
          <xm:sqref>I18:I27</xm:sqref>
        </x14:conditionalFormatting>
        <x14:conditionalFormatting xmlns:xm="http://schemas.microsoft.com/office/excel/2006/main">
          <x14:cfRule type="cellIs" priority="2" operator="equal" id="{13F328CA-6038-4DA9-900A-8DD70D66B659}">
            <xm:f>'C:\Users\David\Documents\[140602 EnDev ID - Load and Tariff Calculation Tool DAVIDv1.xlsx]Appliance List'!#REF!</xm:f>
            <x14:dxf/>
          </x14:cfRule>
          <xm:sqref>B18:B27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'Daftar Peralatan'!$H$4:$H$39</xm:f>
          </x14:formula1>
          <xm:sqref>B4:B13 I4:I13 B18:B27 I18:I27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32"/>
  <sheetViews>
    <sheetView view="pageBreakPreview" zoomScale="70" zoomScaleNormal="70" zoomScaleSheetLayoutView="70" zoomScalePageLayoutView="50" workbookViewId="0">
      <selection activeCell="D6" sqref="D6"/>
    </sheetView>
  </sheetViews>
  <sheetFormatPr defaultColWidth="9.140625" defaultRowHeight="15" customHeight="1" x14ac:dyDescent="0.25"/>
  <cols>
    <col min="1" max="1" width="2" style="214" customWidth="1"/>
    <col min="2" max="2" width="18.5703125" style="214" customWidth="1"/>
    <col min="3" max="3" width="11.7109375" style="214" customWidth="1"/>
    <col min="4" max="4" width="24.5703125" style="214" customWidth="1"/>
    <col min="5" max="5" width="2.85546875" style="214" customWidth="1"/>
    <col min="6" max="6" width="22" style="214" bestFit="1" customWidth="1"/>
    <col min="7" max="7" width="22.42578125" style="214" bestFit="1" customWidth="1"/>
    <col min="8" max="8" width="15.85546875" style="214" customWidth="1"/>
    <col min="9" max="9" width="2.7109375" style="214" customWidth="1"/>
    <col min="10" max="10" width="30.85546875" style="214" customWidth="1"/>
    <col min="11" max="11" width="23.28515625" style="214" customWidth="1"/>
    <col min="12" max="12" width="17.42578125" style="214" customWidth="1"/>
    <col min="13" max="13" width="2.42578125" style="214" customWidth="1"/>
    <col min="14" max="16384" width="9.140625" style="214"/>
  </cols>
  <sheetData>
    <row r="1" spans="1:14" ht="90" customHeight="1" thickBot="1" x14ac:dyDescent="0.3">
      <c r="A1" s="211"/>
      <c r="B1" s="345" t="s">
        <v>135</v>
      </c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212"/>
      <c r="N1" s="213"/>
    </row>
    <row r="2" spans="1:14" ht="30.6" thickBot="1" x14ac:dyDescent="0.35">
      <c r="A2" s="211"/>
      <c r="B2" s="349" t="s">
        <v>136</v>
      </c>
      <c r="C2" s="350"/>
      <c r="D2" s="351"/>
      <c r="E2" s="109"/>
      <c r="F2" s="349" t="s">
        <v>137</v>
      </c>
      <c r="G2" s="350"/>
      <c r="H2" s="351"/>
      <c r="I2" s="215"/>
      <c r="J2" s="349" t="s">
        <v>138</v>
      </c>
      <c r="K2" s="350"/>
      <c r="L2" s="351"/>
      <c r="M2" s="212"/>
    </row>
    <row r="3" spans="1:14" ht="26.25" thickBot="1" x14ac:dyDescent="0.3">
      <c r="A3" s="211"/>
      <c r="B3" s="157" t="s">
        <v>26</v>
      </c>
      <c r="C3" s="158" t="s">
        <v>139</v>
      </c>
      <c r="D3" s="159" t="s">
        <v>140</v>
      </c>
      <c r="E3" s="160"/>
      <c r="F3" s="161"/>
      <c r="G3" s="162"/>
      <c r="H3" s="156" t="s">
        <v>154</v>
      </c>
      <c r="I3" s="163"/>
      <c r="J3" s="352" t="s">
        <v>155</v>
      </c>
      <c r="K3" s="353"/>
      <c r="L3" s="354"/>
      <c r="M3" s="211"/>
    </row>
    <row r="4" spans="1:14" ht="15" customHeight="1" x14ac:dyDescent="0.3">
      <c r="A4" s="211"/>
      <c r="B4" s="355" t="s">
        <v>141</v>
      </c>
      <c r="C4" s="356"/>
      <c r="D4" s="357"/>
      <c r="E4" s="160"/>
      <c r="F4" s="157" t="s">
        <v>146</v>
      </c>
      <c r="G4" s="164" t="s">
        <v>202</v>
      </c>
      <c r="H4" s="221">
        <v>15500</v>
      </c>
      <c r="I4" s="160"/>
      <c r="J4" s="165" t="s">
        <v>156</v>
      </c>
      <c r="K4" s="166" t="s">
        <v>157</v>
      </c>
      <c r="L4" s="167" t="s">
        <v>158</v>
      </c>
      <c r="M4" s="212"/>
    </row>
    <row r="5" spans="1:14" ht="15" customHeight="1" x14ac:dyDescent="0.3">
      <c r="A5" s="211"/>
      <c r="B5" s="168" t="s">
        <v>27</v>
      </c>
      <c r="C5" s="128" t="s">
        <v>28</v>
      </c>
      <c r="D5" s="169">
        <v>200</v>
      </c>
      <c r="E5" s="160"/>
      <c r="F5" s="168" t="s">
        <v>96</v>
      </c>
      <c r="G5" s="170">
        <f>D7*K13</f>
        <v>500000000</v>
      </c>
      <c r="H5" s="171">
        <f t="shared" ref="H5:H14" si="0">G5/$H$4</f>
        <v>32258.064516129034</v>
      </c>
      <c r="I5" s="160"/>
      <c r="J5" s="168" t="str">
        <f>Dasbor!Q5</f>
        <v>Permintaan rumah tangga (KK)</v>
      </c>
      <c r="K5" s="172">
        <f>SUM(Dasbor!T7:T9)</f>
        <v>61</v>
      </c>
      <c r="L5" s="173">
        <f>SUM(Dasbor!V10)</f>
        <v>31.205000000000002</v>
      </c>
      <c r="M5" s="211"/>
    </row>
    <row r="6" spans="1:14" ht="15" customHeight="1" x14ac:dyDescent="0.3">
      <c r="A6" s="211"/>
      <c r="B6" s="168" t="s">
        <v>41</v>
      </c>
      <c r="C6" s="128"/>
      <c r="D6" s="174" t="s">
        <v>44</v>
      </c>
      <c r="E6" s="160"/>
      <c r="F6" s="168" t="s">
        <v>147</v>
      </c>
      <c r="G6" s="170">
        <f>D10*K14</f>
        <v>18000000</v>
      </c>
      <c r="H6" s="171">
        <f t="shared" si="0"/>
        <v>1161.2903225806451</v>
      </c>
      <c r="I6" s="160"/>
      <c r="J6" s="168" t="str">
        <f>Dasbor!Q12</f>
        <v>Permintaan institusi sosial (IS)</v>
      </c>
      <c r="K6" s="172">
        <f>SUM(Dasbor!T13:T15)</f>
        <v>51</v>
      </c>
      <c r="L6" s="173">
        <f>SUM(Dasbor!V16)</f>
        <v>4.96</v>
      </c>
      <c r="M6" s="212"/>
    </row>
    <row r="7" spans="1:14" ht="15" customHeight="1" thickBot="1" x14ac:dyDescent="0.35">
      <c r="A7" s="211"/>
      <c r="B7" s="175" t="s">
        <v>242</v>
      </c>
      <c r="C7" s="176"/>
      <c r="D7" s="177">
        <v>5000000</v>
      </c>
      <c r="E7" s="160"/>
      <c r="F7" s="168" t="s">
        <v>97</v>
      </c>
      <c r="G7" s="170">
        <f>D19*K15</f>
        <v>1319500000</v>
      </c>
      <c r="H7" s="171">
        <f t="shared" si="0"/>
        <v>85129.032258064515</v>
      </c>
      <c r="I7" s="160"/>
      <c r="J7" s="168" t="str">
        <f>Dasbor!Q18</f>
        <v>Permintaan bisnis perdesaan (PUE)</v>
      </c>
      <c r="K7" s="172">
        <f>SUM(Dasbor!T19:T22)</f>
        <v>2</v>
      </c>
      <c r="L7" s="173">
        <f>Dasbor!V23</f>
        <v>5.52</v>
      </c>
      <c r="M7" s="211"/>
    </row>
    <row r="8" spans="1:14" ht="15" customHeight="1" x14ac:dyDescent="0.3">
      <c r="A8" s="211"/>
      <c r="B8" s="355" t="s">
        <v>37</v>
      </c>
      <c r="C8" s="356"/>
      <c r="D8" s="357"/>
      <c r="E8" s="211"/>
      <c r="F8" s="168" t="s">
        <v>148</v>
      </c>
      <c r="G8" s="170">
        <f>D13*K16</f>
        <v>320000000</v>
      </c>
      <c r="H8" s="171">
        <f t="shared" si="0"/>
        <v>20645.16129032258</v>
      </c>
      <c r="I8" s="160"/>
      <c r="J8" s="178" t="s">
        <v>159</v>
      </c>
      <c r="K8" s="179"/>
      <c r="L8" s="180">
        <f>SUM(L5:L7)</f>
        <v>41.685000000000002</v>
      </c>
      <c r="M8" s="212"/>
    </row>
    <row r="9" spans="1:14" ht="15" customHeight="1" x14ac:dyDescent="0.3">
      <c r="A9" s="211"/>
      <c r="B9" s="168" t="s">
        <v>40</v>
      </c>
      <c r="C9" s="128" t="s">
        <v>39</v>
      </c>
      <c r="D9" s="181">
        <v>5</v>
      </c>
      <c r="E9" s="211"/>
      <c r="F9" s="168" t="s">
        <v>149</v>
      </c>
      <c r="G9" s="182">
        <v>250000000</v>
      </c>
      <c r="H9" s="171">
        <f t="shared" si="0"/>
        <v>16129.032258064517</v>
      </c>
      <c r="I9" s="160"/>
      <c r="J9" s="183" t="s">
        <v>160</v>
      </c>
      <c r="K9" s="184"/>
      <c r="L9" s="185">
        <f>L13*D21*Dasbor!E23</f>
        <v>85</v>
      </c>
      <c r="M9" s="211"/>
    </row>
    <row r="10" spans="1:14" ht="15" customHeight="1" thickBot="1" x14ac:dyDescent="0.3">
      <c r="A10" s="211"/>
      <c r="B10" s="175" t="s">
        <v>242</v>
      </c>
      <c r="C10" s="176"/>
      <c r="D10" s="177">
        <v>4500000</v>
      </c>
      <c r="E10" s="160"/>
      <c r="F10" s="168" t="s">
        <v>150</v>
      </c>
      <c r="G10" s="170">
        <f>D22*L19</f>
        <v>286250000</v>
      </c>
      <c r="H10" s="171">
        <f t="shared" si="0"/>
        <v>18467.741935483871</v>
      </c>
      <c r="I10" s="160"/>
      <c r="J10" s="110" t="s">
        <v>162</v>
      </c>
      <c r="K10" s="186"/>
      <c r="L10" s="187">
        <f>L9-L8</f>
        <v>43.314999999999998</v>
      </c>
      <c r="M10" s="212"/>
    </row>
    <row r="11" spans="1:14" ht="15" customHeight="1" x14ac:dyDescent="0.3">
      <c r="A11" s="211"/>
      <c r="B11" s="355" t="s">
        <v>38</v>
      </c>
      <c r="C11" s="356"/>
      <c r="D11" s="357"/>
      <c r="E11" s="160"/>
      <c r="F11" s="168" t="s">
        <v>151</v>
      </c>
      <c r="G11" s="188">
        <f>SUM(G5:G9)*H17</f>
        <v>0</v>
      </c>
      <c r="H11" s="171">
        <f t="shared" si="0"/>
        <v>0</v>
      </c>
      <c r="I11" s="160"/>
      <c r="J11" s="352" t="s">
        <v>161</v>
      </c>
      <c r="K11" s="353"/>
      <c r="L11" s="354"/>
      <c r="M11" s="211"/>
    </row>
    <row r="12" spans="1:14" ht="15" customHeight="1" x14ac:dyDescent="0.3">
      <c r="A12" s="211"/>
      <c r="B12" s="168" t="s">
        <v>40</v>
      </c>
      <c r="C12" s="128" t="s">
        <v>39</v>
      </c>
      <c r="D12" s="181">
        <v>6</v>
      </c>
      <c r="E12" s="211"/>
      <c r="F12" s="168" t="s">
        <v>152</v>
      </c>
      <c r="G12" s="188">
        <f>H18*(G5+G6+G7+G8+G9)</f>
        <v>240750000</v>
      </c>
      <c r="H12" s="171">
        <f t="shared" si="0"/>
        <v>15532.258064516129</v>
      </c>
      <c r="I12" s="160"/>
      <c r="J12" s="165" t="s">
        <v>156</v>
      </c>
      <c r="K12" s="166" t="s">
        <v>157</v>
      </c>
      <c r="L12" s="167" t="s">
        <v>163</v>
      </c>
      <c r="M12" s="212"/>
    </row>
    <row r="13" spans="1:14" ht="15" customHeight="1" thickBot="1" x14ac:dyDescent="0.35">
      <c r="A13" s="211"/>
      <c r="B13" s="175" t="s">
        <v>242</v>
      </c>
      <c r="C13" s="176"/>
      <c r="D13" s="177">
        <v>80000000</v>
      </c>
      <c r="E13" s="211"/>
      <c r="F13" s="168" t="s">
        <v>153</v>
      </c>
      <c r="G13" s="189">
        <f>H19*L18</f>
        <v>72500000</v>
      </c>
      <c r="H13" s="171">
        <f t="shared" si="0"/>
        <v>4677.4193548387093</v>
      </c>
      <c r="I13" s="160"/>
      <c r="J13" s="190" t="s">
        <v>96</v>
      </c>
      <c r="K13" s="191">
        <f>(Dasbor!E22*D27)/'Parameter Teknis SMG'!D5</f>
        <v>100</v>
      </c>
      <c r="L13" s="192">
        <f>(K13*D5)/D27</f>
        <v>20</v>
      </c>
      <c r="M13" s="211"/>
    </row>
    <row r="14" spans="1:14" ht="15" customHeight="1" thickBot="1" x14ac:dyDescent="0.35">
      <c r="A14" s="211"/>
      <c r="B14" s="355" t="s">
        <v>142</v>
      </c>
      <c r="C14" s="356"/>
      <c r="D14" s="357"/>
      <c r="E14" s="211"/>
      <c r="F14" s="193" t="s">
        <v>48</v>
      </c>
      <c r="G14" s="194">
        <f>SUM(G5:G13)</f>
        <v>3007000000</v>
      </c>
      <c r="H14" s="195">
        <f t="shared" si="0"/>
        <v>194000</v>
      </c>
      <c r="I14" s="160"/>
      <c r="J14" s="190" t="s">
        <v>164</v>
      </c>
      <c r="K14" s="191">
        <f>ROUNDUP(L13/'Parameter Teknis SMG'!D9,0)</f>
        <v>4</v>
      </c>
      <c r="L14" s="196">
        <f>ROUNDUP(K14*D9,3)</f>
        <v>20</v>
      </c>
      <c r="M14" s="212"/>
    </row>
    <row r="15" spans="1:14" ht="15" customHeight="1" x14ac:dyDescent="0.3">
      <c r="A15" s="211"/>
      <c r="B15" s="168" t="s">
        <v>30</v>
      </c>
      <c r="C15" s="128" t="s">
        <v>29</v>
      </c>
      <c r="D15" s="169">
        <v>2</v>
      </c>
      <c r="E15" s="160"/>
      <c r="F15" s="346" t="s">
        <v>144</v>
      </c>
      <c r="G15" s="347"/>
      <c r="H15" s="348"/>
      <c r="I15" s="160"/>
      <c r="J15" s="190" t="s">
        <v>97</v>
      </c>
      <c r="K15" s="191">
        <f>ROUNDUP((L8*D27/D15)/(D16*D17),0)*D18</f>
        <v>145</v>
      </c>
      <c r="L15" s="197">
        <f>K15*'Parameter Teknis SMG'!D15*'Parameter Teknis SMG'!D16/1000</f>
        <v>348</v>
      </c>
      <c r="M15" s="211"/>
    </row>
    <row r="16" spans="1:14" ht="15" customHeight="1" x14ac:dyDescent="0.3">
      <c r="A16" s="211"/>
      <c r="B16" s="168" t="s">
        <v>32</v>
      </c>
      <c r="C16" s="128" t="s">
        <v>33</v>
      </c>
      <c r="D16" s="169">
        <v>1200</v>
      </c>
      <c r="E16" s="211"/>
      <c r="F16" s="168" t="s">
        <v>169</v>
      </c>
      <c r="G16" s="216"/>
      <c r="H16" s="217"/>
      <c r="I16" s="160"/>
      <c r="J16" s="190" t="s">
        <v>165</v>
      </c>
      <c r="K16" s="191">
        <f>ROUNDUP((L13/'Parameter Teknis SMG'!D12), 0)</f>
        <v>4</v>
      </c>
      <c r="L16" s="196">
        <f>K16*'Parameter Teknis SMG'!D12</f>
        <v>24</v>
      </c>
      <c r="M16" s="212"/>
    </row>
    <row r="17" spans="1:13" ht="15" customHeight="1" x14ac:dyDescent="0.3">
      <c r="A17" s="211"/>
      <c r="B17" s="168" t="s">
        <v>34</v>
      </c>
      <c r="C17" s="128" t="s">
        <v>17</v>
      </c>
      <c r="D17" s="198">
        <v>0.6</v>
      </c>
      <c r="E17" s="211"/>
      <c r="F17" s="190" t="s">
        <v>151</v>
      </c>
      <c r="G17" s="216" t="s">
        <v>170</v>
      </c>
      <c r="H17" s="198">
        <v>0</v>
      </c>
      <c r="I17" s="160"/>
      <c r="J17" s="199" t="s">
        <v>166</v>
      </c>
      <c r="K17" s="218">
        <f>VLOOKUP(D6,B24:D26,3,FALSE)</f>
        <v>25</v>
      </c>
      <c r="L17" s="200">
        <f>L13*K17</f>
        <v>500</v>
      </c>
      <c r="M17" s="211"/>
    </row>
    <row r="18" spans="1:13" ht="15" customHeight="1" x14ac:dyDescent="0.3">
      <c r="A18" s="211"/>
      <c r="B18" s="168" t="s">
        <v>35</v>
      </c>
      <c r="C18" s="128" t="s">
        <v>36</v>
      </c>
      <c r="D18" s="201">
        <v>5</v>
      </c>
      <c r="E18" s="211"/>
      <c r="F18" s="190" t="s">
        <v>152</v>
      </c>
      <c r="G18" s="216" t="s">
        <v>170</v>
      </c>
      <c r="H18" s="198">
        <v>0.1</v>
      </c>
      <c r="I18" s="160"/>
      <c r="J18" s="202" t="s">
        <v>167</v>
      </c>
      <c r="K18" s="203"/>
      <c r="L18" s="204">
        <f>K15*D28</f>
        <v>72.5</v>
      </c>
      <c r="M18" s="212"/>
    </row>
    <row r="19" spans="1:13" ht="15" customHeight="1" thickBot="1" x14ac:dyDescent="0.35">
      <c r="A19" s="211"/>
      <c r="B19" s="175" t="s">
        <v>242</v>
      </c>
      <c r="C19" s="176"/>
      <c r="D19" s="177">
        <v>9100000</v>
      </c>
      <c r="E19" s="211"/>
      <c r="F19" s="193" t="s">
        <v>171</v>
      </c>
      <c r="G19" s="176" t="s">
        <v>55</v>
      </c>
      <c r="H19" s="261">
        <v>1000000</v>
      </c>
      <c r="I19" s="160"/>
      <c r="J19" s="205" t="s">
        <v>168</v>
      </c>
      <c r="K19" s="186"/>
      <c r="L19" s="206">
        <f>L17+L18</f>
        <v>572.5</v>
      </c>
      <c r="M19" s="211"/>
    </row>
    <row r="20" spans="1:13" ht="15" customHeight="1" x14ac:dyDescent="0.3">
      <c r="A20" s="211"/>
      <c r="B20" s="355" t="s">
        <v>143</v>
      </c>
      <c r="C20" s="356"/>
      <c r="D20" s="357"/>
      <c r="E20" s="211"/>
      <c r="F20" s="211"/>
      <c r="G20" s="211"/>
      <c r="H20" s="211"/>
      <c r="I20" s="160"/>
      <c r="J20" s="160"/>
      <c r="K20" s="160"/>
      <c r="L20" s="160"/>
      <c r="M20" s="212"/>
    </row>
    <row r="21" spans="1:13" ht="15" customHeight="1" x14ac:dyDescent="0.3">
      <c r="A21" s="211"/>
      <c r="B21" s="168" t="s">
        <v>31</v>
      </c>
      <c r="C21" s="128" t="s">
        <v>52</v>
      </c>
      <c r="D21" s="207">
        <v>5</v>
      </c>
      <c r="E21" s="211"/>
      <c r="F21" s="211"/>
      <c r="G21" s="211"/>
      <c r="H21" s="211"/>
      <c r="I21" s="160"/>
      <c r="J21" s="160"/>
      <c r="K21" s="160"/>
      <c r="L21" s="160"/>
      <c r="M21" s="211"/>
    </row>
    <row r="22" spans="1:13" ht="15" customHeight="1" thickBot="1" x14ac:dyDescent="0.3">
      <c r="A22" s="211"/>
      <c r="B22" s="175" t="s">
        <v>243</v>
      </c>
      <c r="C22" s="176"/>
      <c r="D22" s="177">
        <v>500000</v>
      </c>
      <c r="E22" s="211"/>
      <c r="F22" s="211"/>
      <c r="G22" s="211"/>
      <c r="H22" s="211"/>
      <c r="I22" s="160"/>
      <c r="J22" s="160"/>
      <c r="K22" s="160"/>
      <c r="L22" s="160"/>
      <c r="M22" s="212"/>
    </row>
    <row r="23" spans="1:13" ht="15" customHeight="1" x14ac:dyDescent="0.3">
      <c r="A23" s="211"/>
      <c r="B23" s="346" t="s">
        <v>144</v>
      </c>
      <c r="C23" s="347"/>
      <c r="D23" s="348"/>
      <c r="E23" s="211"/>
      <c r="F23" s="211"/>
      <c r="G23" s="211"/>
      <c r="H23" s="211"/>
      <c r="I23" s="160"/>
      <c r="J23" s="160"/>
      <c r="K23" s="160"/>
      <c r="L23" s="160"/>
      <c r="M23" s="211"/>
    </row>
    <row r="24" spans="1:13" ht="15" customHeight="1" x14ac:dyDescent="0.3">
      <c r="A24" s="211"/>
      <c r="B24" s="168" t="s">
        <v>42</v>
      </c>
      <c r="C24" s="128" t="s">
        <v>50</v>
      </c>
      <c r="D24" s="208">
        <v>12</v>
      </c>
      <c r="E24" s="211"/>
      <c r="F24" s="211"/>
      <c r="G24" s="211"/>
      <c r="H24" s="211"/>
      <c r="I24" s="160"/>
      <c r="J24" s="160"/>
      <c r="K24" s="160"/>
      <c r="L24" s="160"/>
      <c r="M24" s="212"/>
    </row>
    <row r="25" spans="1:13" ht="15" customHeight="1" x14ac:dyDescent="0.3">
      <c r="A25" s="211"/>
      <c r="B25" s="168" t="s">
        <v>43</v>
      </c>
      <c r="C25" s="128" t="s">
        <v>46</v>
      </c>
      <c r="D25" s="208">
        <v>14</v>
      </c>
      <c r="E25" s="211"/>
      <c r="F25" s="211"/>
      <c r="G25" s="211"/>
      <c r="H25" s="211"/>
      <c r="I25" s="160"/>
      <c r="J25" s="160"/>
      <c r="K25" s="160"/>
      <c r="L25" s="160"/>
      <c r="M25" s="211"/>
    </row>
    <row r="26" spans="1:13" ht="15" customHeight="1" x14ac:dyDescent="0.3">
      <c r="A26" s="211"/>
      <c r="B26" s="168" t="s">
        <v>44</v>
      </c>
      <c r="C26" s="128" t="s">
        <v>46</v>
      </c>
      <c r="D26" s="208">
        <v>25</v>
      </c>
      <c r="E26" s="211"/>
      <c r="F26" s="211"/>
      <c r="G26" s="211"/>
      <c r="H26" s="211"/>
      <c r="I26" s="160"/>
      <c r="J26" s="160"/>
      <c r="K26" s="160"/>
      <c r="L26" s="160"/>
      <c r="M26" s="212"/>
    </row>
    <row r="27" spans="1:13" ht="15" customHeight="1" x14ac:dyDescent="0.25">
      <c r="A27" s="211"/>
      <c r="B27" s="168" t="s">
        <v>45</v>
      </c>
      <c r="C27" s="128" t="s">
        <v>51</v>
      </c>
      <c r="D27" s="209">
        <v>1000</v>
      </c>
      <c r="E27" s="211"/>
      <c r="F27" s="211"/>
      <c r="G27" s="211"/>
      <c r="H27" s="211"/>
      <c r="I27" s="211"/>
      <c r="J27" s="211"/>
      <c r="K27" s="211"/>
      <c r="L27" s="211"/>
      <c r="M27" s="211"/>
    </row>
    <row r="28" spans="1:13" ht="15" customHeight="1" thickBot="1" x14ac:dyDescent="0.3">
      <c r="A28" s="211"/>
      <c r="B28" s="220" t="s">
        <v>47</v>
      </c>
      <c r="C28" s="219" t="s">
        <v>145</v>
      </c>
      <c r="D28" s="210">
        <v>0.5</v>
      </c>
      <c r="E28" s="211"/>
      <c r="F28" s="211"/>
      <c r="G28" s="211"/>
      <c r="H28" s="211"/>
      <c r="I28" s="211"/>
      <c r="J28" s="211"/>
      <c r="K28" s="211"/>
      <c r="L28" s="211"/>
      <c r="M28" s="211"/>
    </row>
    <row r="29" spans="1:13" ht="15" customHeight="1" x14ac:dyDescent="0.25">
      <c r="A29" s="211"/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2"/>
    </row>
    <row r="30" spans="1:13" ht="15" customHeight="1" x14ac:dyDescent="0.25">
      <c r="A30" s="211"/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</row>
    <row r="31" spans="1:13" ht="15" customHeight="1" x14ac:dyDescent="0.25">
      <c r="A31" s="211"/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2"/>
    </row>
    <row r="32" spans="1:13" ht="15" customHeight="1" x14ac:dyDescent="0.25">
      <c r="A32" s="211"/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</row>
  </sheetData>
  <sheetProtection sheet="1" objects="1" scenarios="1" selectLockedCells="1"/>
  <mergeCells count="13">
    <mergeCell ref="B1:L1"/>
    <mergeCell ref="B23:D23"/>
    <mergeCell ref="F15:H15"/>
    <mergeCell ref="B2:D2"/>
    <mergeCell ref="F2:H2"/>
    <mergeCell ref="J2:L2"/>
    <mergeCell ref="J3:L3"/>
    <mergeCell ref="J11:L11"/>
    <mergeCell ref="B8:D8"/>
    <mergeCell ref="B11:D11"/>
    <mergeCell ref="B4:D4"/>
    <mergeCell ref="B20:D20"/>
    <mergeCell ref="B14:D14"/>
  </mergeCells>
  <conditionalFormatting sqref="L10">
    <cfRule type="cellIs" dxfId="0" priority="1" operator="lessThan">
      <formula>1</formula>
    </cfRule>
  </conditionalFormatting>
  <dataValidations count="1">
    <dataValidation type="list" allowBlank="1" showInputMessage="1" showErrorMessage="1" sqref="D6">
      <formula1>$B$24:$B$26</formula1>
    </dataValidation>
  </dataValidations>
  <pageMargins left="0.25" right="0.25" top="0.75" bottom="0.75" header="0.3" footer="0.3"/>
  <pageSetup paperSize="9" scale="72" orientation="landscape" r:id="rId1"/>
  <ignoredErrors>
    <ignoredError sqref="G13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07"/>
  <sheetViews>
    <sheetView showGridLines="0" view="pageBreakPreview" zoomScale="70" zoomScaleNormal="100" zoomScaleSheetLayoutView="70" workbookViewId="0">
      <selection activeCell="L1" sqref="L1"/>
    </sheetView>
  </sheetViews>
  <sheetFormatPr defaultColWidth="9.140625" defaultRowHeight="14.25" x14ac:dyDescent="0.25"/>
  <cols>
    <col min="1" max="1" width="1.85546875" style="214" customWidth="1"/>
    <col min="2" max="2" width="21.7109375" style="214" customWidth="1"/>
    <col min="3" max="3" width="9.140625" style="232" bestFit="1" customWidth="1"/>
    <col min="4" max="4" width="1.85546875" style="214" customWidth="1"/>
    <col min="5" max="5" width="24.28515625" style="214" customWidth="1"/>
    <col min="6" max="6" width="10.140625" style="214" customWidth="1"/>
    <col min="7" max="7" width="1.7109375" style="214" customWidth="1"/>
    <col min="8" max="8" width="25.42578125" style="214" customWidth="1"/>
    <col min="9" max="9" width="9.140625" style="214" bestFit="1" customWidth="1"/>
    <col min="10" max="10" width="1.7109375" style="214" customWidth="1"/>
    <col min="11" max="16384" width="9.140625" style="214"/>
  </cols>
  <sheetData>
    <row r="1" spans="1:10" ht="36" customHeight="1" thickBot="1" x14ac:dyDescent="0.3">
      <c r="A1" s="364" t="s">
        <v>172</v>
      </c>
      <c r="B1" s="364"/>
      <c r="C1" s="364"/>
      <c r="D1" s="364"/>
      <c r="E1" s="364"/>
      <c r="F1" s="364"/>
      <c r="G1" s="364"/>
      <c r="H1" s="364"/>
      <c r="I1" s="364"/>
      <c r="J1" s="364"/>
    </row>
    <row r="2" spans="1:10" ht="15" customHeight="1" thickBot="1" x14ac:dyDescent="0.35">
      <c r="A2" s="233"/>
      <c r="B2" s="360" t="s">
        <v>174</v>
      </c>
      <c r="C2" s="361"/>
      <c r="D2" s="233"/>
      <c r="E2" s="362" t="s">
        <v>175</v>
      </c>
      <c r="F2" s="363"/>
      <c r="G2" s="233"/>
      <c r="H2" s="358" t="s">
        <v>176</v>
      </c>
      <c r="I2" s="359"/>
      <c r="J2" s="233"/>
    </row>
    <row r="3" spans="1:10" ht="15" customHeight="1" x14ac:dyDescent="0.3">
      <c r="A3" s="233"/>
      <c r="B3" s="118" t="s">
        <v>173</v>
      </c>
      <c r="C3" s="118" t="s">
        <v>19</v>
      </c>
      <c r="D3" s="233"/>
      <c r="E3" s="119" t="s">
        <v>173</v>
      </c>
      <c r="F3" s="119" t="s">
        <v>19</v>
      </c>
      <c r="G3" s="233"/>
      <c r="H3" s="120" t="s">
        <v>173</v>
      </c>
      <c r="I3" s="120" t="s">
        <v>19</v>
      </c>
      <c r="J3" s="233"/>
    </row>
    <row r="4" spans="1:10" x14ac:dyDescent="0.25">
      <c r="A4" s="233"/>
      <c r="B4" s="233" t="s">
        <v>122</v>
      </c>
      <c r="C4" s="234">
        <v>0</v>
      </c>
      <c r="D4" s="233"/>
      <c r="E4" s="233" t="s">
        <v>122</v>
      </c>
      <c r="F4" s="234">
        <v>0</v>
      </c>
      <c r="G4" s="233"/>
      <c r="H4" s="233" t="s">
        <v>122</v>
      </c>
      <c r="I4" s="234">
        <v>0</v>
      </c>
      <c r="J4" s="233"/>
    </row>
    <row r="5" spans="1:10" ht="15" customHeight="1" x14ac:dyDescent="0.25">
      <c r="A5" s="233"/>
      <c r="B5" s="5" t="s">
        <v>10</v>
      </c>
      <c r="C5" s="30">
        <v>40</v>
      </c>
      <c r="D5" s="233"/>
      <c r="E5" s="6" t="s">
        <v>181</v>
      </c>
      <c r="F5" s="31">
        <v>70</v>
      </c>
      <c r="G5" s="233"/>
      <c r="H5" s="3" t="s">
        <v>0</v>
      </c>
      <c r="I5" s="29">
        <v>1500</v>
      </c>
      <c r="J5" s="233"/>
    </row>
    <row r="6" spans="1:10" ht="15" customHeight="1" x14ac:dyDescent="0.25">
      <c r="A6" s="233"/>
      <c r="B6" s="5" t="s">
        <v>11</v>
      </c>
      <c r="C6" s="5">
        <v>15</v>
      </c>
      <c r="D6" s="233"/>
      <c r="E6" s="6" t="s">
        <v>182</v>
      </c>
      <c r="F6" s="31">
        <v>20</v>
      </c>
      <c r="G6" s="233"/>
      <c r="H6" s="3" t="s">
        <v>1</v>
      </c>
      <c r="I6" s="29">
        <v>200</v>
      </c>
      <c r="J6" s="233"/>
    </row>
    <row r="7" spans="1:10" ht="15" customHeight="1" x14ac:dyDescent="0.25">
      <c r="A7" s="233"/>
      <c r="B7" s="5" t="s">
        <v>179</v>
      </c>
      <c r="C7" s="30">
        <v>40</v>
      </c>
      <c r="D7" s="233"/>
      <c r="E7" s="6" t="s">
        <v>128</v>
      </c>
      <c r="F7" s="31">
        <v>10</v>
      </c>
      <c r="G7" s="233"/>
      <c r="H7" s="4" t="s">
        <v>3</v>
      </c>
      <c r="I7" s="29">
        <v>350</v>
      </c>
      <c r="J7" s="233"/>
    </row>
    <row r="8" spans="1:10" ht="15" customHeight="1" x14ac:dyDescent="0.25">
      <c r="A8" s="233"/>
      <c r="B8" s="5" t="s">
        <v>180</v>
      </c>
      <c r="C8" s="30">
        <v>20</v>
      </c>
      <c r="D8" s="233"/>
      <c r="E8" s="6" t="s">
        <v>13</v>
      </c>
      <c r="F8" s="31">
        <v>60</v>
      </c>
      <c r="G8" s="233"/>
      <c r="H8" s="3" t="s">
        <v>2</v>
      </c>
      <c r="I8" s="29">
        <v>600</v>
      </c>
      <c r="J8" s="233"/>
    </row>
    <row r="9" spans="1:10" ht="15" customHeight="1" x14ac:dyDescent="0.25">
      <c r="A9" s="233"/>
      <c r="B9" s="5" t="s">
        <v>59</v>
      </c>
      <c r="C9" s="5">
        <v>1000</v>
      </c>
      <c r="D9" s="233"/>
      <c r="E9" s="6" t="s">
        <v>12</v>
      </c>
      <c r="F9" s="31">
        <v>25</v>
      </c>
      <c r="G9" s="233"/>
      <c r="H9" s="3" t="s">
        <v>191</v>
      </c>
      <c r="I9" s="29">
        <v>450</v>
      </c>
      <c r="J9" s="233"/>
    </row>
    <row r="10" spans="1:10" ht="15" customHeight="1" x14ac:dyDescent="0.25">
      <c r="A10" s="233"/>
      <c r="B10" s="5" t="s">
        <v>7</v>
      </c>
      <c r="C10" s="5">
        <v>400</v>
      </c>
      <c r="D10" s="233"/>
      <c r="E10" s="6"/>
      <c r="F10" s="31"/>
      <c r="G10" s="233"/>
      <c r="H10" s="4" t="s">
        <v>4</v>
      </c>
      <c r="I10" s="29">
        <v>350</v>
      </c>
      <c r="J10" s="233"/>
    </row>
    <row r="11" spans="1:10" ht="15" customHeight="1" x14ac:dyDescent="0.25">
      <c r="A11" s="233"/>
      <c r="B11" s="5" t="s">
        <v>9</v>
      </c>
      <c r="C11" s="30">
        <v>70</v>
      </c>
      <c r="D11" s="233"/>
      <c r="E11" s="6"/>
      <c r="F11" s="31"/>
      <c r="G11" s="233"/>
      <c r="H11" s="3" t="s">
        <v>5</v>
      </c>
      <c r="I11" s="29">
        <v>130</v>
      </c>
      <c r="J11" s="233"/>
    </row>
    <row r="12" spans="1:10" ht="15" customHeight="1" x14ac:dyDescent="0.25">
      <c r="A12" s="233"/>
      <c r="B12" s="5"/>
      <c r="C12" s="5"/>
      <c r="D12" s="233"/>
      <c r="E12" s="6"/>
      <c r="F12" s="31"/>
      <c r="G12" s="233"/>
      <c r="H12" s="3" t="s">
        <v>183</v>
      </c>
      <c r="I12" s="29">
        <v>1050</v>
      </c>
      <c r="J12" s="233"/>
    </row>
    <row r="13" spans="1:10" ht="15" customHeight="1" x14ac:dyDescent="0.25">
      <c r="A13" s="233"/>
      <c r="B13" s="5"/>
      <c r="C13" s="5"/>
      <c r="D13" s="233"/>
      <c r="E13" s="6"/>
      <c r="F13" s="31"/>
      <c r="G13" s="233"/>
      <c r="H13" s="3" t="s">
        <v>193</v>
      </c>
      <c r="I13" s="29">
        <v>600</v>
      </c>
      <c r="J13" s="233"/>
    </row>
    <row r="14" spans="1:10" ht="15" customHeight="1" x14ac:dyDescent="0.25">
      <c r="A14" s="233"/>
      <c r="B14" s="5"/>
      <c r="C14" s="5"/>
      <c r="D14" s="233"/>
      <c r="E14" s="6"/>
      <c r="F14" s="31"/>
      <c r="G14" s="233"/>
      <c r="H14" s="3" t="s">
        <v>188</v>
      </c>
      <c r="I14" s="29">
        <v>200</v>
      </c>
      <c r="J14" s="233"/>
    </row>
    <row r="15" spans="1:10" ht="15" customHeight="1" x14ac:dyDescent="0.25">
      <c r="A15" s="233"/>
      <c r="B15" s="5"/>
      <c r="C15" s="5"/>
      <c r="D15" s="233"/>
      <c r="E15" s="6"/>
      <c r="F15" s="31"/>
      <c r="G15" s="233"/>
      <c r="H15" s="3" t="s">
        <v>185</v>
      </c>
      <c r="I15" s="29">
        <v>1500</v>
      </c>
      <c r="J15" s="233"/>
    </row>
    <row r="16" spans="1:10" ht="15" customHeight="1" x14ac:dyDescent="0.25">
      <c r="A16" s="233"/>
      <c r="B16" s="5"/>
      <c r="C16" s="5"/>
      <c r="D16" s="233"/>
      <c r="E16" s="6"/>
      <c r="F16" s="31"/>
      <c r="G16" s="233"/>
      <c r="H16" s="2" t="s">
        <v>186</v>
      </c>
      <c r="I16" s="29">
        <v>20</v>
      </c>
      <c r="J16" s="233"/>
    </row>
    <row r="17" spans="1:10" ht="15" customHeight="1" x14ac:dyDescent="0.25">
      <c r="A17" s="233"/>
      <c r="B17" s="5"/>
      <c r="C17" s="5"/>
      <c r="D17" s="233"/>
      <c r="E17" s="6"/>
      <c r="F17" s="31"/>
      <c r="G17" s="233"/>
      <c r="H17" s="3" t="s">
        <v>201</v>
      </c>
      <c r="I17" s="29">
        <v>1300</v>
      </c>
      <c r="J17" s="233"/>
    </row>
    <row r="18" spans="1:10" ht="15" customHeight="1" x14ac:dyDescent="0.25">
      <c r="A18" s="233"/>
      <c r="B18" s="5"/>
      <c r="C18" s="5"/>
      <c r="D18" s="233"/>
      <c r="E18" s="6"/>
      <c r="F18" s="31"/>
      <c r="G18" s="233"/>
      <c r="H18" s="3" t="s">
        <v>196</v>
      </c>
      <c r="I18" s="29">
        <v>180</v>
      </c>
      <c r="J18" s="233"/>
    </row>
    <row r="19" spans="1:10" ht="15" customHeight="1" x14ac:dyDescent="0.25">
      <c r="A19" s="233"/>
      <c r="B19" s="5"/>
      <c r="C19" s="5"/>
      <c r="D19" s="233"/>
      <c r="E19" s="6"/>
      <c r="F19" s="31"/>
      <c r="G19" s="233"/>
      <c r="H19" s="2" t="s">
        <v>189</v>
      </c>
      <c r="I19" s="29">
        <v>250</v>
      </c>
      <c r="J19" s="233"/>
    </row>
    <row r="20" spans="1:10" ht="15" customHeight="1" x14ac:dyDescent="0.25">
      <c r="A20" s="233"/>
      <c r="B20" s="5"/>
      <c r="C20" s="5"/>
      <c r="D20" s="233"/>
      <c r="E20" s="6"/>
      <c r="F20" s="31"/>
      <c r="G20" s="233"/>
      <c r="H20" s="2" t="s">
        <v>198</v>
      </c>
      <c r="I20" s="29">
        <v>120</v>
      </c>
      <c r="J20" s="233"/>
    </row>
    <row r="21" spans="1:10" ht="15" customHeight="1" x14ac:dyDescent="0.25">
      <c r="A21" s="233"/>
      <c r="B21" s="5"/>
      <c r="C21" s="5"/>
      <c r="D21" s="233"/>
      <c r="E21" s="6"/>
      <c r="F21" s="31"/>
      <c r="G21" s="233"/>
      <c r="H21" s="1" t="s">
        <v>197</v>
      </c>
      <c r="I21" s="29">
        <v>100</v>
      </c>
      <c r="J21" s="233"/>
    </row>
    <row r="22" spans="1:10" ht="15" customHeight="1" x14ac:dyDescent="0.25">
      <c r="A22" s="233"/>
      <c r="B22" s="5"/>
      <c r="C22" s="5"/>
      <c r="D22" s="233"/>
      <c r="E22" s="6"/>
      <c r="F22" s="31"/>
      <c r="G22" s="233"/>
      <c r="H22" s="2" t="s">
        <v>192</v>
      </c>
      <c r="I22" s="29">
        <v>100</v>
      </c>
      <c r="J22" s="233"/>
    </row>
    <row r="23" spans="1:10" ht="15" customHeight="1" x14ac:dyDescent="0.25">
      <c r="A23" s="233"/>
      <c r="B23" s="5"/>
      <c r="C23" s="5"/>
      <c r="D23" s="233"/>
      <c r="E23" s="6"/>
      <c r="F23" s="31"/>
      <c r="G23" s="233"/>
      <c r="H23" s="3" t="s">
        <v>194</v>
      </c>
      <c r="I23" s="29">
        <v>580</v>
      </c>
      <c r="J23" s="233"/>
    </row>
    <row r="24" spans="1:10" ht="15" customHeight="1" x14ac:dyDescent="0.25">
      <c r="A24" s="233"/>
      <c r="B24" s="233"/>
      <c r="C24" s="234"/>
      <c r="D24" s="233"/>
      <c r="E24" s="233"/>
      <c r="F24" s="233"/>
      <c r="G24" s="233"/>
      <c r="H24" s="3" t="s">
        <v>199</v>
      </c>
      <c r="I24" s="29">
        <v>530</v>
      </c>
      <c r="J24" s="233"/>
    </row>
    <row r="25" spans="1:10" ht="15" customHeight="1" x14ac:dyDescent="0.25">
      <c r="A25" s="233"/>
      <c r="B25" s="233"/>
      <c r="C25" s="233"/>
      <c r="D25" s="233"/>
      <c r="E25" s="233"/>
      <c r="F25" s="233"/>
      <c r="G25" s="233"/>
      <c r="H25" s="4" t="s">
        <v>187</v>
      </c>
      <c r="I25" s="29">
        <v>170</v>
      </c>
      <c r="J25" s="233"/>
    </row>
    <row r="26" spans="1:10" ht="15" customHeight="1" x14ac:dyDescent="0.25">
      <c r="A26" s="233"/>
      <c r="B26" s="233"/>
      <c r="C26" s="233"/>
      <c r="D26" s="233"/>
      <c r="E26" s="233"/>
      <c r="F26" s="233"/>
      <c r="G26" s="233"/>
      <c r="H26" s="3" t="s">
        <v>190</v>
      </c>
      <c r="I26" s="29">
        <v>200</v>
      </c>
      <c r="J26" s="233"/>
    </row>
    <row r="27" spans="1:10" ht="15" customHeight="1" x14ac:dyDescent="0.25">
      <c r="A27" s="233"/>
      <c r="B27" s="233"/>
      <c r="C27" s="233"/>
      <c r="D27" s="233"/>
      <c r="E27" s="233"/>
      <c r="F27" s="233"/>
      <c r="G27" s="233"/>
      <c r="H27" s="3" t="s">
        <v>6</v>
      </c>
      <c r="I27" s="29">
        <v>800</v>
      </c>
      <c r="J27" s="233"/>
    </row>
    <row r="28" spans="1:10" ht="15" customHeight="1" x14ac:dyDescent="0.25">
      <c r="A28" s="233"/>
      <c r="B28" s="233"/>
      <c r="C28" s="233"/>
      <c r="D28" s="233"/>
      <c r="E28" s="233"/>
      <c r="F28" s="233"/>
      <c r="G28" s="233"/>
      <c r="H28" s="3" t="s">
        <v>200</v>
      </c>
      <c r="I28" s="29">
        <v>300</v>
      </c>
      <c r="J28" s="233"/>
    </row>
    <row r="29" spans="1:10" ht="15" customHeight="1" x14ac:dyDescent="0.25">
      <c r="A29" s="233"/>
      <c r="B29" s="233"/>
      <c r="C29" s="233"/>
      <c r="D29" s="233"/>
      <c r="E29" s="233"/>
      <c r="F29" s="233"/>
      <c r="G29" s="233"/>
      <c r="H29" s="1" t="s">
        <v>184</v>
      </c>
      <c r="I29" s="29">
        <v>900</v>
      </c>
      <c r="J29" s="233"/>
    </row>
    <row r="30" spans="1:10" ht="15" customHeight="1" x14ac:dyDescent="0.25">
      <c r="A30" s="233"/>
      <c r="B30" s="233"/>
      <c r="C30" s="233"/>
      <c r="D30" s="233"/>
      <c r="E30" s="233"/>
      <c r="F30" s="233"/>
      <c r="G30" s="233"/>
      <c r="H30" s="2" t="s">
        <v>195</v>
      </c>
      <c r="I30" s="29">
        <v>1500</v>
      </c>
      <c r="J30" s="233"/>
    </row>
    <row r="31" spans="1:10" ht="15" customHeight="1" x14ac:dyDescent="0.25">
      <c r="A31" s="233"/>
      <c r="B31" s="233"/>
      <c r="C31" s="233"/>
      <c r="D31" s="233"/>
      <c r="E31" s="233"/>
      <c r="F31" s="233"/>
      <c r="G31" s="233"/>
      <c r="H31" s="3" t="s">
        <v>7</v>
      </c>
      <c r="I31" s="29">
        <v>400</v>
      </c>
      <c r="J31" s="233"/>
    </row>
    <row r="32" spans="1:10" ht="15" customHeight="1" x14ac:dyDescent="0.25">
      <c r="A32" s="233"/>
      <c r="B32" s="233"/>
      <c r="C32" s="234"/>
      <c r="D32" s="233"/>
      <c r="E32" s="233"/>
      <c r="F32" s="233"/>
      <c r="G32" s="233"/>
      <c r="H32" s="3" t="s">
        <v>8</v>
      </c>
      <c r="I32" s="29">
        <v>400</v>
      </c>
      <c r="J32" s="233"/>
    </row>
    <row r="33" spans="1:10" ht="15" customHeight="1" x14ac:dyDescent="0.3">
      <c r="A33" s="233"/>
      <c r="B33" s="233"/>
      <c r="C33" s="234"/>
      <c r="D33" s="233"/>
      <c r="E33" s="233"/>
      <c r="F33" s="233"/>
      <c r="G33" s="233"/>
      <c r="H33" s="3"/>
      <c r="I33" s="29"/>
      <c r="J33" s="233"/>
    </row>
    <row r="34" spans="1:10" ht="15" customHeight="1" x14ac:dyDescent="0.3">
      <c r="A34" s="233"/>
      <c r="B34" s="233"/>
      <c r="C34" s="234"/>
      <c r="D34" s="233"/>
      <c r="E34" s="233"/>
      <c r="F34" s="233"/>
      <c r="G34" s="233"/>
      <c r="H34" s="3"/>
      <c r="I34" s="29"/>
      <c r="J34" s="233"/>
    </row>
    <row r="35" spans="1:10" ht="15" customHeight="1" x14ac:dyDescent="0.3">
      <c r="A35" s="233"/>
      <c r="B35" s="233"/>
      <c r="C35" s="234"/>
      <c r="D35" s="233"/>
      <c r="E35" s="233"/>
      <c r="F35" s="233"/>
      <c r="G35" s="233"/>
      <c r="H35" s="3"/>
      <c r="I35" s="29"/>
      <c r="J35" s="233"/>
    </row>
    <row r="36" spans="1:10" ht="15" customHeight="1" x14ac:dyDescent="0.25">
      <c r="A36" s="233"/>
      <c r="B36" s="233"/>
      <c r="C36" s="234"/>
      <c r="D36" s="233"/>
      <c r="E36" s="233"/>
      <c r="F36" s="233"/>
      <c r="G36" s="233"/>
      <c r="H36" s="3"/>
      <c r="I36" s="29"/>
      <c r="J36" s="233"/>
    </row>
    <row r="37" spans="1:10" ht="15" customHeight="1" x14ac:dyDescent="0.25">
      <c r="A37" s="233"/>
      <c r="B37" s="240" t="s">
        <v>57</v>
      </c>
      <c r="C37" s="241"/>
      <c r="D37" s="238"/>
      <c r="E37" s="238"/>
      <c r="F37" s="238"/>
      <c r="G37" s="233"/>
      <c r="H37" s="3"/>
      <c r="I37" s="29"/>
      <c r="J37" s="233"/>
    </row>
    <row r="38" spans="1:10" ht="15" customHeight="1" x14ac:dyDescent="0.25">
      <c r="A38" s="233"/>
      <c r="B38" s="239" t="s">
        <v>177</v>
      </c>
      <c r="C38" s="241"/>
      <c r="D38" s="238"/>
      <c r="E38" s="238"/>
      <c r="F38" s="238"/>
      <c r="G38" s="233"/>
      <c r="H38" s="3"/>
      <c r="I38" s="29"/>
      <c r="J38" s="233"/>
    </row>
    <row r="39" spans="1:10" ht="15" customHeight="1" x14ac:dyDescent="0.25">
      <c r="A39" s="233"/>
      <c r="B39" s="239" t="s">
        <v>178</v>
      </c>
      <c r="C39" s="241"/>
      <c r="D39" s="238"/>
      <c r="E39" s="238"/>
      <c r="F39" s="238"/>
      <c r="G39" s="233"/>
      <c r="H39" s="3"/>
      <c r="I39" s="29"/>
      <c r="J39" s="233"/>
    </row>
    <row r="40" spans="1:10" ht="15" customHeight="1" x14ac:dyDescent="0.25">
      <c r="A40" s="233"/>
      <c r="B40" s="233"/>
      <c r="C40" s="234"/>
      <c r="D40" s="233"/>
      <c r="E40" s="233"/>
      <c r="F40" s="233"/>
      <c r="G40" s="233"/>
      <c r="H40" s="233"/>
      <c r="I40" s="233"/>
      <c r="J40" s="233"/>
    </row>
    <row r="41" spans="1:10" ht="15" customHeight="1" x14ac:dyDescent="0.25"/>
    <row r="42" spans="1:10" ht="15" customHeight="1" x14ac:dyDescent="0.25"/>
    <row r="43" spans="1:10" ht="15" customHeight="1" x14ac:dyDescent="0.25"/>
    <row r="44" spans="1:10" ht="15" customHeight="1" x14ac:dyDescent="0.25"/>
    <row r="45" spans="1:10" ht="15" customHeight="1" x14ac:dyDescent="0.25"/>
    <row r="46" spans="1:10" ht="15" customHeight="1" x14ac:dyDescent="0.25"/>
    <row r="47" spans="1:10" ht="15" customHeight="1" x14ac:dyDescent="0.25"/>
    <row r="48" spans="1:10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</sheetData>
  <sheetProtection selectLockedCells="1"/>
  <sortState ref="B5:C11">
    <sortCondition ref="B5"/>
  </sortState>
  <dataConsolidate/>
  <mergeCells count="4">
    <mergeCell ref="H2:I2"/>
    <mergeCell ref="B2:C2"/>
    <mergeCell ref="E2:F2"/>
    <mergeCell ref="A1:J1"/>
  </mergeCells>
  <pageMargins left="0.25" right="0.25" top="0.75" bottom="0.75" header="0.3" footer="0.3"/>
  <pageSetup paperSize="9" scale="9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READ ME</vt:lpstr>
      <vt:lpstr>Dasbor</vt:lpstr>
      <vt:lpstr>Beban KK</vt:lpstr>
      <vt:lpstr>Beban IS</vt:lpstr>
      <vt:lpstr>Beban PUE</vt:lpstr>
      <vt:lpstr>Parameter Teknis SMG</vt:lpstr>
      <vt:lpstr>Daftar Peralatan</vt:lpstr>
      <vt:lpstr>'Beban KK'!Print_Area</vt:lpstr>
      <vt:lpstr>'Beban PUE'!Print_Area</vt:lpstr>
      <vt:lpstr>'Daftar Peralatan'!Print_Area</vt:lpstr>
      <vt:lpstr>Dasbor!Print_Area</vt:lpstr>
      <vt:lpstr>'Parameter Teknis SMG'!Print_Area</vt:lpstr>
      <vt:lpstr>'READ ME'!Print_Area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GIZ EnDev</dc:creator>
  <cp:lastModifiedBy>Amalia</cp:lastModifiedBy>
  <cp:lastPrinted>2014-07-07T08:36:19Z</cp:lastPrinted>
  <dcterms:created xsi:type="dcterms:W3CDTF">2014-06-09T04:00:11Z</dcterms:created>
  <dcterms:modified xsi:type="dcterms:W3CDTF">2014-07-07T08:49:29Z</dcterms:modified>
</cp:coreProperties>
</file>